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... Posao\10... Stručni tekstovi\Naša mreža (novo)\1... Tekstovi\11... Time-tracking model\"/>
    </mc:Choice>
  </mc:AlternateContent>
  <xr:revisionPtr revIDLastSave="0" documentId="13_ncr:1_{CCD5E93B-3B9E-48F0-ADE7-6BCCCB377342}" xr6:coauthVersionLast="47" xr6:coauthVersionMax="47" xr10:uidLastSave="{00000000-0000-0000-0000-000000000000}"/>
  <bookViews>
    <workbookView xWindow="-108" yWindow="-108" windowWidth="23256" windowHeight="12456" xr2:uid="{CDFEAB48-4505-4BD7-B75F-DDECA35D5971}"/>
  </bookViews>
  <sheets>
    <sheet name="Instructions" sheetId="10" r:id="rId1"/>
    <sheet name="Time-tracking" sheetId="4" r:id="rId2"/>
    <sheet name="By month" sheetId="5" r:id="rId3"/>
    <sheet name="By project" sheetId="6" r:id="rId4"/>
    <sheet name="By place" sheetId="7" r:id="rId5"/>
    <sheet name="By effort" sheetId="9" r:id="rId6"/>
  </sheets>
  <definedNames>
    <definedName name="_xlnm._FilterDatabase" localSheetId="1" hidden="1">'Time-tracking'!$B$4:$Q$25</definedName>
    <definedName name="_xlchart.v1.0" hidden="1">'By month'!$F$5:$F$7</definedName>
    <definedName name="_xlchart.v1.1" hidden="1">'By month'!$G$4</definedName>
    <definedName name="_xlchart.v1.2" hidden="1">'By month'!$G$5:$G$7</definedName>
    <definedName name="February" localSheetId="1">'Time-tracking'!#REF!</definedName>
    <definedName name="February">#REF!</definedName>
    <definedName name="Igor">#REF!</definedName>
    <definedName name="status">#REF!</definedName>
  </definedNames>
  <calcPr calcId="191029" concurrentCalc="0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4" l="1"/>
  <c r="D22" i="4"/>
  <c r="E22" i="4"/>
  <c r="C23" i="4"/>
  <c r="D23" i="4"/>
  <c r="E23" i="4"/>
  <c r="C24" i="4"/>
  <c r="D24" i="4"/>
  <c r="E24" i="4"/>
  <c r="L22" i="4"/>
  <c r="M22" i="4"/>
  <c r="N22" i="4"/>
  <c r="O22" i="4"/>
  <c r="Q22" i="4"/>
  <c r="L23" i="4"/>
  <c r="M23" i="4"/>
  <c r="N23" i="4"/>
  <c r="O23" i="4"/>
  <c r="Q23" i="4"/>
  <c r="L24" i="4"/>
  <c r="M24" i="4"/>
  <c r="N24" i="4"/>
  <c r="O24" i="4"/>
  <c r="Q24" i="4"/>
  <c r="Q27" i="4"/>
  <c r="N27" i="4"/>
  <c r="M27" i="4"/>
  <c r="Q25" i="4"/>
  <c r="O25" i="4"/>
  <c r="N25" i="4"/>
  <c r="M25" i="4"/>
  <c r="H7" i="9"/>
  <c r="H6" i="9"/>
  <c r="H5" i="9"/>
  <c r="G7" i="9"/>
  <c r="G6" i="9"/>
  <c r="G5" i="9"/>
  <c r="H8" i="9"/>
  <c r="G8" i="9"/>
  <c r="F7" i="9"/>
  <c r="F6" i="9"/>
  <c r="F5" i="9"/>
  <c r="H6" i="7"/>
  <c r="H5" i="7"/>
  <c r="G6" i="7"/>
  <c r="G5" i="7"/>
  <c r="H7" i="7"/>
  <c r="G7" i="7"/>
  <c r="F6" i="7"/>
  <c r="F5" i="7"/>
  <c r="H7" i="6"/>
  <c r="H6" i="6"/>
  <c r="H5" i="6"/>
  <c r="G7" i="6"/>
  <c r="G6" i="6"/>
  <c r="G5" i="6"/>
  <c r="H8" i="6"/>
  <c r="G8" i="6"/>
  <c r="F7" i="6"/>
  <c r="F6" i="6"/>
  <c r="F5" i="6"/>
  <c r="H7" i="5"/>
  <c r="H6" i="5"/>
  <c r="H5" i="5"/>
  <c r="G7" i="5"/>
  <c r="G6" i="5"/>
  <c r="H8" i="5"/>
  <c r="G5" i="5"/>
  <c r="G8" i="5"/>
  <c r="F6" i="5"/>
  <c r="F7" i="5"/>
  <c r="F5" i="5"/>
  <c r="L6" i="4"/>
  <c r="M6" i="4"/>
  <c r="N6" i="4"/>
  <c r="O6" i="4"/>
  <c r="Q6" i="4"/>
  <c r="L7" i="4"/>
  <c r="M7" i="4"/>
  <c r="N7" i="4"/>
  <c r="O7" i="4"/>
  <c r="Q7" i="4"/>
  <c r="L8" i="4"/>
  <c r="M8" i="4"/>
  <c r="N8" i="4"/>
  <c r="O8" i="4"/>
  <c r="Q8" i="4"/>
  <c r="L9" i="4"/>
  <c r="M9" i="4"/>
  <c r="N9" i="4"/>
  <c r="O9" i="4"/>
  <c r="Q9" i="4"/>
  <c r="L10" i="4"/>
  <c r="M10" i="4"/>
  <c r="N10" i="4"/>
  <c r="O10" i="4"/>
  <c r="Q10" i="4"/>
  <c r="L11" i="4"/>
  <c r="M11" i="4"/>
  <c r="N11" i="4"/>
  <c r="O11" i="4"/>
  <c r="Q11" i="4"/>
  <c r="L12" i="4"/>
  <c r="M12" i="4"/>
  <c r="N12" i="4"/>
  <c r="O12" i="4"/>
  <c r="Q12" i="4"/>
  <c r="L13" i="4"/>
  <c r="M13" i="4"/>
  <c r="N13" i="4"/>
  <c r="O13" i="4"/>
  <c r="Q13" i="4"/>
  <c r="L14" i="4"/>
  <c r="M14" i="4"/>
  <c r="N14" i="4"/>
  <c r="O14" i="4"/>
  <c r="Q14" i="4"/>
  <c r="L15" i="4"/>
  <c r="M15" i="4"/>
  <c r="N15" i="4"/>
  <c r="O15" i="4"/>
  <c r="Q15" i="4"/>
  <c r="L16" i="4"/>
  <c r="M16" i="4"/>
  <c r="N16" i="4"/>
  <c r="O16" i="4"/>
  <c r="Q16" i="4"/>
  <c r="L17" i="4"/>
  <c r="M17" i="4"/>
  <c r="N17" i="4"/>
  <c r="O17" i="4"/>
  <c r="Q17" i="4"/>
  <c r="L18" i="4"/>
  <c r="M18" i="4"/>
  <c r="N18" i="4"/>
  <c r="O18" i="4"/>
  <c r="Q18" i="4"/>
  <c r="L19" i="4"/>
  <c r="M19" i="4"/>
  <c r="N19" i="4"/>
  <c r="O19" i="4"/>
  <c r="Q19" i="4"/>
  <c r="L20" i="4"/>
  <c r="M20" i="4"/>
  <c r="N20" i="4"/>
  <c r="O20" i="4"/>
  <c r="Q20" i="4"/>
  <c r="L21" i="4"/>
  <c r="M21" i="4"/>
  <c r="N21" i="4"/>
  <c r="O21" i="4"/>
  <c r="Q21" i="4"/>
  <c r="L5" i="4"/>
  <c r="M5" i="4"/>
  <c r="N5" i="4"/>
  <c r="O5" i="4"/>
  <c r="Q5" i="4"/>
  <c r="C21" i="4"/>
  <c r="D21" i="4"/>
  <c r="E21" i="4"/>
  <c r="C6" i="4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E5" i="4"/>
  <c r="D5" i="4"/>
  <c r="C5" i="4"/>
  <c r="D33" i="4"/>
  <c r="D34" i="4"/>
  <c r="D31" i="4"/>
  <c r="D32" i="4"/>
</calcChain>
</file>

<file path=xl/sharedStrings.xml><?xml version="1.0" encoding="utf-8"?>
<sst xmlns="http://schemas.openxmlformats.org/spreadsheetml/2006/main" count="162" uniqueCount="66">
  <si>
    <t>Date</t>
  </si>
  <si>
    <t>Year</t>
  </si>
  <si>
    <t>Month</t>
  </si>
  <si>
    <t>Day</t>
  </si>
  <si>
    <t>Place of work</t>
  </si>
  <si>
    <t>Start time</t>
  </si>
  <si>
    <t>Stop time</t>
  </si>
  <si>
    <t>Duration</t>
  </si>
  <si>
    <t>Hours</t>
  </si>
  <si>
    <t>Minutes</t>
  </si>
  <si>
    <t>Total minutes</t>
  </si>
  <si>
    <t>Fee, per hour</t>
  </si>
  <si>
    <t>Fee, total</t>
  </si>
  <si>
    <t xml:space="preserve">Activity </t>
  </si>
  <si>
    <t>Project</t>
  </si>
  <si>
    <t>Total</t>
  </si>
  <si>
    <t>Control sum</t>
  </si>
  <si>
    <t>Summary</t>
  </si>
  <si>
    <t>Effort level</t>
  </si>
  <si>
    <t>Design of promotional materials</t>
  </si>
  <si>
    <t>Hercules</t>
  </si>
  <si>
    <t>Zorro</t>
  </si>
  <si>
    <t>Client's office</t>
  </si>
  <si>
    <t>Medium</t>
  </si>
  <si>
    <t>High</t>
  </si>
  <si>
    <t>Low</t>
  </si>
  <si>
    <t>Logo design for the project</t>
  </si>
  <si>
    <t>Brand book planning</t>
  </si>
  <si>
    <t>Designing visuals for social media</t>
  </si>
  <si>
    <t>Editing profile photos for a website</t>
  </si>
  <si>
    <t>Workshop "Minimalist design for video"</t>
  </si>
  <si>
    <t>Sales manager job advertisement design</t>
  </si>
  <si>
    <t>Debussy</t>
  </si>
  <si>
    <t>My office</t>
  </si>
  <si>
    <t>Time-tracking for Q4 2023</t>
  </si>
  <si>
    <t>Fee, average per hour</t>
  </si>
  <si>
    <t>Row Labels</t>
  </si>
  <si>
    <t>Grand Total</t>
  </si>
  <si>
    <t>Sum of Fee, total</t>
  </si>
  <si>
    <t>Sum of Total minutes</t>
  </si>
  <si>
    <t>October</t>
  </si>
  <si>
    <t>November</t>
  </si>
  <si>
    <t>December</t>
  </si>
  <si>
    <t>Months</t>
  </si>
  <si>
    <t xml:space="preserve">Total </t>
  </si>
  <si>
    <t>Total fee</t>
  </si>
  <si>
    <t>Projects</t>
  </si>
  <si>
    <t>Place</t>
  </si>
  <si>
    <t xml:space="preserve"> </t>
  </si>
  <si>
    <t>Who is the model intended for?</t>
  </si>
  <si>
    <t>How to fill the table?</t>
  </si>
  <si>
    <t>Can the table be changed?</t>
  </si>
  <si>
    <t>How are dates entered?</t>
  </si>
  <si>
    <t>How do you type the time?</t>
  </si>
  <si>
    <t>How are analytics tracked?</t>
  </si>
  <si>
    <t>How are analytics updated?</t>
  </si>
  <si>
    <t>IMPORTANT NOTICE:</t>
  </si>
  <si>
    <t>ONLY GREEN FIELDS ARE FILLED AND ONLY PIVOT TABLES ARE UPDATED. EVERYTHING ELSE IS AUTOMATED.</t>
  </si>
  <si>
    <r>
      <t xml:space="preserve">The model is intended </t>
    </r>
    <r>
      <rPr>
        <b/>
        <sz val="12"/>
        <color rgb="FFC00000"/>
        <rFont val="Calibri"/>
        <family val="2"/>
        <scheme val="minor"/>
      </rPr>
      <t>for all those who track the time spent</t>
    </r>
    <r>
      <rPr>
        <sz val="12"/>
        <color theme="1"/>
        <rFont val="Calibri"/>
        <family val="2"/>
        <scheme val="minor"/>
      </rPr>
      <t xml:space="preserve"> and </t>
    </r>
    <r>
      <rPr>
        <b/>
        <sz val="12"/>
        <color rgb="FFC00000"/>
        <rFont val="Calibri"/>
        <family val="2"/>
        <scheme val="minor"/>
      </rPr>
      <t>charge "per hour"</t>
    </r>
  </si>
  <si>
    <r>
      <t xml:space="preserve">The table is filled </t>
    </r>
    <r>
      <rPr>
        <b/>
        <sz val="12"/>
        <color rgb="FFC00000"/>
        <rFont val="Calibri"/>
        <family val="2"/>
        <scheme val="minor"/>
      </rPr>
      <t>by entering the appropriate data in the fields marked in green cells.</t>
    </r>
  </si>
  <si>
    <r>
      <t xml:space="preserve">Yes. The table can be changed by inserting </t>
    </r>
    <r>
      <rPr>
        <b/>
        <sz val="12"/>
        <color rgb="FFC00000"/>
        <rFont val="Calibri"/>
        <family val="2"/>
        <scheme val="minor"/>
      </rPr>
      <t>new rows</t>
    </r>
    <r>
      <rPr>
        <sz val="12"/>
        <color theme="1"/>
        <rFont val="Calibri"/>
        <family val="2"/>
        <scheme val="minor"/>
      </rPr>
      <t xml:space="preserve"> (new days) and </t>
    </r>
    <r>
      <rPr>
        <b/>
        <sz val="12"/>
        <color rgb="FFC00000"/>
        <rFont val="Calibri"/>
        <family val="2"/>
        <scheme val="minor"/>
      </rPr>
      <t>new columns</t>
    </r>
    <r>
      <rPr>
        <sz val="12"/>
        <color theme="1"/>
        <rFont val="Calibri"/>
        <family val="2"/>
        <scheme val="minor"/>
      </rPr>
      <t xml:space="preserve"> (new entry criteria). </t>
    </r>
    <r>
      <rPr>
        <b/>
        <sz val="12"/>
        <color rgb="FFC00000"/>
        <rFont val="Calibri"/>
        <family val="2"/>
        <scheme val="minor"/>
      </rPr>
      <t>Please, copy the formulas.</t>
    </r>
  </si>
  <si>
    <r>
      <t>The date column is formatted. It is enough to type the date, the first three letters of the month and the last two digits of the year. For example. "</t>
    </r>
    <r>
      <rPr>
        <b/>
        <sz val="12"/>
        <color rgb="FFC00000"/>
        <rFont val="Calibri"/>
        <family val="2"/>
        <scheme val="minor"/>
      </rPr>
      <t>22sep23</t>
    </r>
    <r>
      <rPr>
        <sz val="12"/>
        <color theme="1"/>
        <rFont val="Calibri"/>
        <family val="2"/>
        <scheme val="minor"/>
      </rPr>
      <t>".</t>
    </r>
  </si>
  <si>
    <r>
      <t>Columns with time data are formatted. The start and end time of work is entered by entering the hour and minute, with a colon in between. For example. "</t>
    </r>
    <r>
      <rPr>
        <b/>
        <sz val="12"/>
        <color rgb="FFC00000"/>
        <rFont val="Calibri"/>
        <family val="2"/>
        <scheme val="minor"/>
      </rPr>
      <t>9:15</t>
    </r>
    <r>
      <rPr>
        <sz val="12"/>
        <color theme="1"/>
        <rFont val="Calibri"/>
        <family val="2"/>
        <scheme val="minor"/>
      </rPr>
      <t>".</t>
    </r>
  </si>
  <si>
    <r>
      <t xml:space="preserve">It is possible to track various analytics - by month, project, location, etc. Those reviews are </t>
    </r>
    <r>
      <rPr>
        <b/>
        <sz val="12"/>
        <color rgb="FFC00000"/>
        <rFont val="Calibri"/>
        <family val="2"/>
        <scheme val="minor"/>
      </rPr>
      <t>in the blue Sheets</t>
    </r>
    <r>
      <rPr>
        <sz val="12"/>
        <color theme="1"/>
        <rFont val="Calibri"/>
        <family val="2"/>
        <scheme val="minor"/>
      </rPr>
      <t xml:space="preserve"> (By month, By project, By place, etc.).</t>
    </r>
  </si>
  <si>
    <r>
      <t xml:space="preserve">Updating data is done by </t>
    </r>
    <r>
      <rPr>
        <b/>
        <sz val="12"/>
        <color rgb="FFC00000"/>
        <rFont val="Calibri"/>
        <family val="2"/>
        <scheme val="minor"/>
      </rPr>
      <t>updating Pivot tables</t>
    </r>
    <r>
      <rPr>
        <sz val="12"/>
        <color theme="1"/>
        <rFont val="Calibri"/>
        <family val="2"/>
        <scheme val="minor"/>
      </rPr>
      <t>, by standing on any field of the table, pressing the right mouse button and selecting the "</t>
    </r>
    <r>
      <rPr>
        <b/>
        <sz val="12"/>
        <color rgb="FFC00000"/>
        <rFont val="Calibri"/>
        <family val="2"/>
        <scheme val="minor"/>
      </rPr>
      <t>Refresh</t>
    </r>
    <r>
      <rPr>
        <sz val="12"/>
        <color theme="1"/>
        <rFont val="Calibri"/>
        <family val="2"/>
        <scheme val="minor"/>
      </rPr>
      <t>" option.</t>
    </r>
  </si>
  <si>
    <t xml:space="preserve">Instructions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</si>
</sst>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9]mmmm\ d\,\ yyyy;@"/>
    <numFmt numFmtId="165" formatCode="h:mm;@"/>
    <numFmt numFmtId="166" formatCode="#,##0.0"/>
    <numFmt numFmtId="167" formatCode="#,##0\ [$€-1]"/>
    <numFmt numFmtId="168" formatCode="#,##0.0\ [$€-1]"/>
    <numFmt numFmtId="169" formatCode="[$-409]d\-mmm\-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8"/>
      <color theme="1"/>
      <name val="Segoe UI Black"/>
      <family val="2"/>
    </font>
    <font>
      <b/>
      <sz val="12"/>
      <color rgb="FFC00000"/>
      <name val="Calibri"/>
      <family val="2"/>
      <scheme val="minor"/>
    </font>
    <font>
      <b/>
      <sz val="20"/>
      <color theme="1"/>
      <name val="Segoe UI Black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165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 indent="1"/>
    </xf>
    <xf numFmtId="165" fontId="5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168" fontId="5" fillId="3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left" vertical="center" indent="1"/>
    </xf>
    <xf numFmtId="3" fontId="3" fillId="2" borderId="1" xfId="0" applyNumberFormat="1" applyFont="1" applyFill="1" applyBorder="1" applyAlignment="1">
      <alignment horizontal="left" vertical="center" indent="1"/>
    </xf>
    <xf numFmtId="0" fontId="3" fillId="4" borderId="1" xfId="0" applyFont="1" applyFill="1" applyBorder="1" applyAlignment="1">
      <alignment horizontal="left" vertical="center" indent="1"/>
    </xf>
    <xf numFmtId="165" fontId="3" fillId="4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67" fontId="3" fillId="4" borderId="1" xfId="0" applyNumberFormat="1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left" vertical="center" indent="1"/>
    </xf>
    <xf numFmtId="165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7" fontId="5" fillId="3" borderId="1" xfId="0" applyNumberFormat="1" applyFont="1" applyFill="1" applyBorder="1" applyAlignment="1">
      <alignment horizontal="center" vertical="center"/>
    </xf>
    <xf numFmtId="168" fontId="5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165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0" fontId="3" fillId="5" borderId="1" xfId="0" applyFont="1" applyFill="1" applyBorder="1" applyAlignment="1">
      <alignment horizontal="right" vertical="center" indent="2"/>
    </xf>
    <xf numFmtId="3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left" vertical="center"/>
    </xf>
    <xf numFmtId="168" fontId="3" fillId="0" borderId="0" xfId="0" applyNumberFormat="1" applyFont="1" applyAlignment="1">
      <alignment horizontal="left" vertical="center"/>
    </xf>
    <xf numFmtId="167" fontId="5" fillId="6" borderId="1" xfId="0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pivotButton="1" applyAlignment="1">
      <alignment vertical="center"/>
    </xf>
    <xf numFmtId="0" fontId="0" fillId="0" borderId="0" xfId="0" pivotButton="1" applyAlignment="1">
      <alignment horizontal="left" vertical="center" indent="1"/>
    </xf>
    <xf numFmtId="0" fontId="0" fillId="2" borderId="1" xfId="0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167" fontId="2" fillId="3" borderId="1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left" vertical="center" indent="1"/>
    </xf>
    <xf numFmtId="3" fontId="1" fillId="0" borderId="0" xfId="0" applyNumberFormat="1" applyFont="1" applyAlignment="1">
      <alignment horizontal="right" vertical="top" indent="1"/>
    </xf>
    <xf numFmtId="3" fontId="1" fillId="0" borderId="0" xfId="0" applyNumberFormat="1" applyFont="1" applyAlignment="1">
      <alignment horizontal="left" vertical="top" wrapText="1" indent="1"/>
    </xf>
    <xf numFmtId="3" fontId="3" fillId="7" borderId="0" xfId="0" applyNumberFormat="1" applyFont="1" applyFill="1" applyAlignment="1">
      <alignment horizontal="left" vertical="center" indent="1"/>
    </xf>
    <xf numFmtId="3" fontId="3" fillId="0" borderId="0" xfId="0" applyNumberFormat="1" applyFont="1" applyAlignment="1">
      <alignment horizontal="right" vertical="top" indent="1"/>
    </xf>
    <xf numFmtId="3" fontId="3" fillId="8" borderId="0" xfId="0" applyNumberFormat="1" applyFont="1" applyFill="1" applyAlignment="1">
      <alignment horizontal="left" vertical="center" wrapText="1" indent="1"/>
    </xf>
    <xf numFmtId="3" fontId="3" fillId="0" borderId="0" xfId="0" applyNumberFormat="1" applyFont="1" applyAlignment="1">
      <alignment horizontal="left" vertical="center" indent="1"/>
    </xf>
    <xf numFmtId="3" fontId="3" fillId="0" borderId="0" xfId="0" applyNumberFormat="1" applyFont="1" applyAlignment="1">
      <alignment horizontal="left" vertical="center" wrapText="1" indent="1"/>
    </xf>
    <xf numFmtId="3" fontId="9" fillId="8" borderId="0" xfId="0" applyNumberFormat="1" applyFont="1" applyFill="1" applyAlignment="1">
      <alignment horizontal="left" vertical="center" wrapText="1" indent="1"/>
    </xf>
    <xf numFmtId="3" fontId="4" fillId="7" borderId="0" xfId="0" applyNumberFormat="1" applyFont="1" applyFill="1" applyAlignment="1">
      <alignment horizontal="left" vertical="center" indent="1"/>
    </xf>
    <xf numFmtId="169" fontId="10" fillId="0" borderId="0" xfId="0" applyNumberFormat="1" applyFont="1" applyAlignment="1">
      <alignment vertical="center"/>
    </xf>
    <xf numFmtId="0" fontId="3" fillId="5" borderId="2" xfId="0" applyFont="1" applyFill="1" applyBorder="1" applyAlignment="1">
      <alignment horizontal="left" vertical="center" indent="1"/>
    </xf>
    <xf numFmtId="0" fontId="3" fillId="5" borderId="3" xfId="0" applyFont="1" applyFill="1" applyBorder="1" applyAlignment="1">
      <alignment horizontal="left" vertical="center" indent="1"/>
    </xf>
    <xf numFmtId="0" fontId="4" fillId="6" borderId="2" xfId="0" applyFont="1" applyFill="1" applyBorder="1" applyAlignment="1">
      <alignment horizontal="left" vertical="center" indent="1"/>
    </xf>
    <xf numFmtId="0" fontId="4" fillId="6" borderId="3" xfId="0" applyFont="1" applyFill="1" applyBorder="1" applyAlignment="1">
      <alignment horizontal="left" vertical="center" indent="1"/>
    </xf>
  </cellXfs>
  <cellStyles count="1">
    <cellStyle name="Normal" xfId="0" builtinId="0"/>
  </cellStyles>
  <dxfs count="57"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alignment horizontal="center"/>
    </dxf>
    <dxf>
      <alignment horizontal="center"/>
    </dxf>
    <dxf>
      <alignment horizontal="left" relativeIndent="1"/>
    </dxf>
    <dxf>
      <alignment horizontal="left" relativeIndent="1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general" indent="0"/>
    </dxf>
    <dxf>
      <alignment horizontal="general" indent="0"/>
    </dxf>
    <dxf>
      <alignment horizontal="center"/>
    </dxf>
    <dxf>
      <alignment horizontal="center"/>
    </dxf>
    <dxf>
      <alignment horizontal="left" relativeIndent="1"/>
    </dxf>
    <dxf>
      <alignment horizontal="left" relativeIndent="1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general" indent="0"/>
    </dxf>
    <dxf>
      <alignment horizontal="general" indent="0"/>
    </dxf>
    <dxf>
      <alignment horizontal="center"/>
    </dxf>
    <dxf>
      <alignment horizontal="center"/>
    </dxf>
    <dxf>
      <alignment horizontal="left" relativeIndent="1"/>
    </dxf>
    <dxf>
      <alignment horizontal="left" relativeIndent="1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general" indent="0"/>
    </dxf>
    <dxf>
      <alignment horizontal="general" indent="0"/>
    </dxf>
    <dxf>
      <alignment horizontal="center"/>
    </dxf>
    <dxf>
      <alignment horizontal="center"/>
    </dxf>
    <dxf>
      <alignment horizontal="left" relativeIndent="1"/>
    </dxf>
    <dxf>
      <alignment horizontal="left" relativeIndent="1"/>
    </dxf>
    <dxf>
      <alignment horizontal="left" relativeIndent="1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general" indent="0"/>
    </dxf>
    <dxf>
      <alignment horizontal="general" indent="0"/>
    </dxf>
    <dxf>
      <alignment horizontal="general" indent="0"/>
    </dxf>
  </dxfs>
  <tableStyles count="0" defaultTableStyle="TableStyleMedium2" defaultPivotStyle="PivotStyleLight16"/>
  <colors>
    <mruColors>
      <color rgb="FFCCFF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/>
              <a:t>Time spent and fee charged, by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4618215012000719E-2"/>
          <c:y val="0.28307221787648651"/>
          <c:w val="0.95076356997599853"/>
          <c:h val="0.565725161644866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month'!$G$4</c:f>
              <c:strCache>
                <c:ptCount val="1"/>
                <c:pt idx="0">
                  <c:v>Total minutes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'By month'!$F$5:$F$7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'By month'!$G$5:$G$7</c:f>
              <c:numCache>
                <c:formatCode>#,##0</c:formatCode>
                <c:ptCount val="3"/>
                <c:pt idx="0">
                  <c:v>808</c:v>
                </c:pt>
                <c:pt idx="1">
                  <c:v>978</c:v>
                </c:pt>
                <c:pt idx="2">
                  <c:v>1069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CB-4D15-9A66-F7C2AD228E60}"/>
            </c:ext>
          </c:extLst>
        </c:ser>
        <c:ser>
          <c:idx val="1"/>
          <c:order val="1"/>
          <c:tx>
            <c:strRef>
              <c:f>'By month'!$H$4</c:f>
              <c:strCache>
                <c:ptCount val="1"/>
                <c:pt idx="0">
                  <c:v>Total fee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'By month'!$F$5:$F$7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'By month'!$H$5:$H$7</c:f>
              <c:numCache>
                <c:formatCode>#,##0\ [$€-1]</c:formatCode>
                <c:ptCount val="3"/>
                <c:pt idx="0">
                  <c:v>467</c:v>
                </c:pt>
                <c:pt idx="1">
                  <c:v>407.50000000000006</c:v>
                </c:pt>
                <c:pt idx="2">
                  <c:v>639.5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CB-4D15-9A66-F7C2AD228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00"/>
        <c:overlap val="-45"/>
        <c:axId val="705428848"/>
        <c:axId val="2071246112"/>
      </c:barChart>
      <c:catAx>
        <c:axId val="7054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71246112"/>
        <c:crosses val="autoZero"/>
        <c:auto val="1"/>
        <c:lblAlgn val="ctr"/>
        <c:lblOffset val="100"/>
        <c:noMultiLvlLbl val="0"/>
      </c:catAx>
      <c:valAx>
        <c:axId val="207124611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7054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/>
              <a:t>Time spent and fee charged, by effort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4618215012000719E-2"/>
          <c:y val="0.28307221787648651"/>
          <c:w val="0.95076356997599853"/>
          <c:h val="0.565725161644866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effort'!$G$4</c:f>
              <c:strCache>
                <c:ptCount val="1"/>
                <c:pt idx="0">
                  <c:v>Total minutes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'By effort'!$F$5:$F$7</c:f>
              <c:strCache>
                <c:ptCount val="3"/>
                <c:pt idx="0">
                  <c:v>High</c:v>
                </c:pt>
                <c:pt idx="1">
                  <c:v>Low</c:v>
                </c:pt>
                <c:pt idx="2">
                  <c:v>Medium</c:v>
                </c:pt>
              </c:strCache>
            </c:strRef>
          </c:cat>
          <c:val>
            <c:numRef>
              <c:f>'By effort'!$G$5:$G$7</c:f>
              <c:numCache>
                <c:formatCode>#,##0</c:formatCode>
                <c:ptCount val="3"/>
                <c:pt idx="0">
                  <c:v>1589</c:v>
                </c:pt>
                <c:pt idx="1">
                  <c:v>239</c:v>
                </c:pt>
                <c:pt idx="2">
                  <c:v>1027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E-45C0-8B4C-BA814F85DD25}"/>
            </c:ext>
          </c:extLst>
        </c:ser>
        <c:ser>
          <c:idx val="1"/>
          <c:order val="1"/>
          <c:tx>
            <c:strRef>
              <c:f>'By effort'!$H$4</c:f>
              <c:strCache>
                <c:ptCount val="1"/>
                <c:pt idx="0">
                  <c:v>Total fee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'By effort'!$F$5:$F$7</c:f>
              <c:strCache>
                <c:ptCount val="3"/>
                <c:pt idx="0">
                  <c:v>High</c:v>
                </c:pt>
                <c:pt idx="1">
                  <c:v>Low</c:v>
                </c:pt>
                <c:pt idx="2">
                  <c:v>Medium</c:v>
                </c:pt>
              </c:strCache>
            </c:strRef>
          </c:cat>
          <c:val>
            <c:numRef>
              <c:f>'By effort'!$H$5:$H$7</c:f>
              <c:numCache>
                <c:formatCode>#,##0\ [$€-1]</c:formatCode>
                <c:ptCount val="3"/>
                <c:pt idx="0">
                  <c:v>837.91666666666663</c:v>
                </c:pt>
                <c:pt idx="1">
                  <c:v>99.583333333333343</c:v>
                </c:pt>
                <c:pt idx="2">
                  <c:v>576.5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E-45C0-8B4C-BA814F85DD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00"/>
        <c:overlap val="-45"/>
        <c:axId val="705428848"/>
        <c:axId val="2071246112"/>
      </c:barChart>
      <c:catAx>
        <c:axId val="7054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71246112"/>
        <c:crosses val="autoZero"/>
        <c:auto val="1"/>
        <c:lblAlgn val="ctr"/>
        <c:lblOffset val="100"/>
        <c:noMultiLvlLbl val="0"/>
      </c:catAx>
      <c:valAx>
        <c:axId val="207124611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7054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 sz="1600" b="1"/>
              <a:t>TIME</a:t>
            </a:r>
            <a:r>
              <a:rPr lang="sr-Latn-RS" sz="1600" b="1" baseline="0"/>
              <a:t> SPENT</a:t>
            </a:r>
            <a:r>
              <a:rPr lang="sr-Latn-RS" sz="1600" b="1"/>
              <a:t>,</a:t>
            </a:r>
            <a:r>
              <a:rPr lang="sr-Latn-RS" sz="1600" b="1" baseline="0"/>
              <a:t> BY MONTH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5417007739838371"/>
          <c:y val="0.1955872703412074"/>
          <c:w val="0.49868173664092064"/>
          <c:h val="0.65757545931758532"/>
        </c:manualLayout>
      </c:layout>
      <c:pieChart>
        <c:varyColors val="1"/>
        <c:ser>
          <c:idx val="0"/>
          <c:order val="0"/>
          <c:tx>
            <c:strRef>
              <c:f>'By effort'!$G$4</c:f>
              <c:strCache>
                <c:ptCount val="1"/>
                <c:pt idx="0">
                  <c:v>Total minutes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C93-4D4C-A4D2-F06F030A77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C93-4D4C-A4D2-F06F030A776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C93-4D4C-A4D2-F06F030A77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'By effort'!$F$5:$F$7</c:f>
              <c:strCache>
                <c:ptCount val="3"/>
                <c:pt idx="0">
                  <c:v>High</c:v>
                </c:pt>
                <c:pt idx="1">
                  <c:v>Low</c:v>
                </c:pt>
                <c:pt idx="2">
                  <c:v>Medium</c:v>
                </c:pt>
              </c:strCache>
            </c:strRef>
          </c:cat>
          <c:val>
            <c:numRef>
              <c:f>'By effort'!$G$5:$G$7</c:f>
              <c:numCache>
                <c:formatCode>#,##0</c:formatCode>
                <c:ptCount val="3"/>
                <c:pt idx="0">
                  <c:v>1589</c:v>
                </c:pt>
                <c:pt idx="1">
                  <c:v>239</c:v>
                </c:pt>
                <c:pt idx="2">
                  <c:v>1027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93-4D4C-A4D2-F06F030A77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 sz="1600" b="1"/>
              <a:t>FEE</a:t>
            </a:r>
            <a:r>
              <a:rPr lang="sr-Latn-RS" sz="1600" b="1" baseline="0"/>
              <a:t> CHARGED</a:t>
            </a:r>
            <a:r>
              <a:rPr lang="sr-Latn-RS" sz="1600" b="1"/>
              <a:t>,</a:t>
            </a:r>
            <a:r>
              <a:rPr lang="sr-Latn-RS" sz="1600" b="1" baseline="0"/>
              <a:t> BY MONTH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5417007739838371"/>
          <c:y val="0.1955872703412074"/>
          <c:w val="0.49868173664092064"/>
          <c:h val="0.65757545931758532"/>
        </c:manualLayout>
      </c:layout>
      <c:pieChart>
        <c:varyColors val="1"/>
        <c:ser>
          <c:idx val="0"/>
          <c:order val="0"/>
          <c:tx>
            <c:strRef>
              <c:f>'By effort'!$H$4</c:f>
              <c:strCache>
                <c:ptCount val="1"/>
                <c:pt idx="0">
                  <c:v>Total fee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17E-4B2C-8A6D-08028558E4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17E-4B2C-8A6D-08028558E4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17E-4B2C-8A6D-08028558E4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'By effort'!$F$5:$F$7</c:f>
              <c:strCache>
                <c:ptCount val="3"/>
                <c:pt idx="0">
                  <c:v>High</c:v>
                </c:pt>
                <c:pt idx="1">
                  <c:v>Low</c:v>
                </c:pt>
                <c:pt idx="2">
                  <c:v>Medium</c:v>
                </c:pt>
              </c:strCache>
            </c:strRef>
          </c:cat>
          <c:val>
            <c:numRef>
              <c:f>'By effort'!$H$5:$H$7</c:f>
              <c:numCache>
                <c:formatCode>#,##0\ [$€-1]</c:formatCode>
                <c:ptCount val="3"/>
                <c:pt idx="0">
                  <c:v>837.91666666666663</c:v>
                </c:pt>
                <c:pt idx="1">
                  <c:v>99.583333333333343</c:v>
                </c:pt>
                <c:pt idx="2">
                  <c:v>576.5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7E-4B2C-8A6D-08028558E4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 sz="1600" b="1"/>
              <a:t>TIME</a:t>
            </a:r>
            <a:r>
              <a:rPr lang="sr-Latn-RS" sz="1600" b="1" baseline="0"/>
              <a:t> SPENT</a:t>
            </a:r>
            <a:r>
              <a:rPr lang="sr-Latn-RS" sz="1600" b="1"/>
              <a:t>,</a:t>
            </a:r>
            <a:r>
              <a:rPr lang="sr-Latn-RS" sz="1600" b="1" baseline="0"/>
              <a:t> BY MONTH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5417007739838371"/>
          <c:y val="0.1955872703412074"/>
          <c:w val="0.49868173664092064"/>
          <c:h val="0.65757545931758532"/>
        </c:manualLayout>
      </c:layout>
      <c:pieChart>
        <c:varyColors val="1"/>
        <c:ser>
          <c:idx val="0"/>
          <c:order val="0"/>
          <c:tx>
            <c:strRef>
              <c:f>'By month'!$G$4</c:f>
              <c:strCache>
                <c:ptCount val="1"/>
                <c:pt idx="0">
                  <c:v>Total minutes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'By month'!$F$5:$F$7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'By month'!$G$5:$G$7</c:f>
              <c:numCache>
                <c:formatCode>#,##0</c:formatCode>
                <c:ptCount val="3"/>
                <c:pt idx="0">
                  <c:v>808</c:v>
                </c:pt>
                <c:pt idx="1">
                  <c:v>978</c:v>
                </c:pt>
                <c:pt idx="2">
                  <c:v>1069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E-4E0E-919F-43B305E810B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 sz="1600" b="1"/>
              <a:t>FEE</a:t>
            </a:r>
            <a:r>
              <a:rPr lang="sr-Latn-RS" sz="1600" b="1" baseline="0"/>
              <a:t> CHARGED</a:t>
            </a:r>
            <a:r>
              <a:rPr lang="sr-Latn-RS" sz="1600" b="1"/>
              <a:t>,</a:t>
            </a:r>
            <a:r>
              <a:rPr lang="sr-Latn-RS" sz="1600" b="1" baseline="0"/>
              <a:t> BY MONTH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5417007739838371"/>
          <c:y val="0.1955872703412074"/>
          <c:w val="0.49868173664092064"/>
          <c:h val="0.65757545931758532"/>
        </c:manualLayout>
      </c:layout>
      <c:pieChart>
        <c:varyColors val="1"/>
        <c:ser>
          <c:idx val="0"/>
          <c:order val="0"/>
          <c:tx>
            <c:strRef>
              <c:f>'By month'!$H$4</c:f>
              <c:strCache>
                <c:ptCount val="1"/>
                <c:pt idx="0">
                  <c:v>Total fee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1D-4B89-BCDB-B900010C08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D1D-4B89-BCDB-B900010C08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D1D-4B89-BCDB-B900010C08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'By month'!$F$5:$F$7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</c:strCache>
            </c:strRef>
          </c:cat>
          <c:val>
            <c:numRef>
              <c:f>'By month'!$H$5:$H$7</c:f>
              <c:numCache>
                <c:formatCode>#,##0\ [$€-1]</c:formatCode>
                <c:ptCount val="3"/>
                <c:pt idx="0">
                  <c:v>467</c:v>
                </c:pt>
                <c:pt idx="1">
                  <c:v>407.50000000000006</c:v>
                </c:pt>
                <c:pt idx="2">
                  <c:v>639.5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1D-4B89-BCDB-B900010C08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/>
              <a:t>Time spent and fee charged, by PROJECT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4618215012000719E-2"/>
          <c:y val="0.28307221787648651"/>
          <c:w val="0.95076356997599853"/>
          <c:h val="0.565725161644866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project'!$G$4</c:f>
              <c:strCache>
                <c:ptCount val="1"/>
                <c:pt idx="0">
                  <c:v>Total minutes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'By project'!$F$5:$F$7</c:f>
              <c:strCache>
                <c:ptCount val="3"/>
                <c:pt idx="0">
                  <c:v>Debussy</c:v>
                </c:pt>
                <c:pt idx="1">
                  <c:v>Hercules</c:v>
                </c:pt>
                <c:pt idx="2">
                  <c:v>Zorro</c:v>
                </c:pt>
              </c:strCache>
            </c:strRef>
          </c:cat>
          <c:val>
            <c:numRef>
              <c:f>'By project'!$G$5:$G$7</c:f>
              <c:numCache>
                <c:formatCode>#,##0</c:formatCode>
                <c:ptCount val="3"/>
                <c:pt idx="0">
                  <c:v>1342</c:v>
                </c:pt>
                <c:pt idx="1">
                  <c:v>715</c:v>
                </c:pt>
                <c:pt idx="2">
                  <c:v>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8-46A8-BFE5-F500DFF14432}"/>
            </c:ext>
          </c:extLst>
        </c:ser>
        <c:ser>
          <c:idx val="1"/>
          <c:order val="1"/>
          <c:tx>
            <c:strRef>
              <c:f>'By project'!$H$4</c:f>
              <c:strCache>
                <c:ptCount val="1"/>
                <c:pt idx="0">
                  <c:v>Total fee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'By project'!$F$5:$F$7</c:f>
              <c:strCache>
                <c:ptCount val="3"/>
                <c:pt idx="0">
                  <c:v>Debussy</c:v>
                </c:pt>
                <c:pt idx="1">
                  <c:v>Hercules</c:v>
                </c:pt>
                <c:pt idx="2">
                  <c:v>Zorro</c:v>
                </c:pt>
              </c:strCache>
            </c:strRef>
          </c:cat>
          <c:val>
            <c:numRef>
              <c:f>'By project'!$H$5:$H$7</c:f>
              <c:numCache>
                <c:formatCode>#,##0\ [$€-1]</c:formatCode>
                <c:ptCount val="3"/>
                <c:pt idx="0">
                  <c:v>589.5</c:v>
                </c:pt>
                <c:pt idx="1">
                  <c:v>357.5</c:v>
                </c:pt>
                <c:pt idx="2">
                  <c:v>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E8-46A8-BFE5-F500DFF1443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00"/>
        <c:overlap val="-45"/>
        <c:axId val="705428848"/>
        <c:axId val="2071246112"/>
      </c:barChart>
      <c:catAx>
        <c:axId val="7054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71246112"/>
        <c:crosses val="autoZero"/>
        <c:auto val="1"/>
        <c:lblAlgn val="ctr"/>
        <c:lblOffset val="100"/>
        <c:noMultiLvlLbl val="0"/>
      </c:catAx>
      <c:valAx>
        <c:axId val="207124611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7054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 sz="1600" b="1"/>
              <a:t>TIME</a:t>
            </a:r>
            <a:r>
              <a:rPr lang="sr-Latn-RS" sz="1600" b="1" baseline="0"/>
              <a:t> SPENT</a:t>
            </a:r>
            <a:r>
              <a:rPr lang="sr-Latn-RS" sz="1600" b="1"/>
              <a:t>,</a:t>
            </a:r>
            <a:r>
              <a:rPr lang="sr-Latn-RS" sz="1600" b="1" baseline="0"/>
              <a:t> BY PROJECT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5417007739838371"/>
          <c:y val="0.1955872703412074"/>
          <c:w val="0.49868173664092064"/>
          <c:h val="0.65757545931758532"/>
        </c:manualLayout>
      </c:layout>
      <c:pieChart>
        <c:varyColors val="1"/>
        <c:ser>
          <c:idx val="0"/>
          <c:order val="0"/>
          <c:tx>
            <c:strRef>
              <c:f>'By project'!$G$4</c:f>
              <c:strCache>
                <c:ptCount val="1"/>
                <c:pt idx="0">
                  <c:v>Total minutes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83C-4621-B6B0-42A97DDE943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83C-4621-B6B0-42A97DDE943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83C-4621-B6B0-42A97DDE94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'By project'!$F$5:$F$7</c:f>
              <c:strCache>
                <c:ptCount val="3"/>
                <c:pt idx="0">
                  <c:v>Debussy</c:v>
                </c:pt>
                <c:pt idx="1">
                  <c:v>Hercules</c:v>
                </c:pt>
                <c:pt idx="2">
                  <c:v>Zorro</c:v>
                </c:pt>
              </c:strCache>
            </c:strRef>
          </c:cat>
          <c:val>
            <c:numRef>
              <c:f>'By project'!$G$5:$G$7</c:f>
              <c:numCache>
                <c:formatCode>#,##0</c:formatCode>
                <c:ptCount val="3"/>
                <c:pt idx="0">
                  <c:v>1342</c:v>
                </c:pt>
                <c:pt idx="1">
                  <c:v>715</c:v>
                </c:pt>
                <c:pt idx="2">
                  <c:v>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3C-4621-B6B0-42A97DDE943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 sz="1600" b="1"/>
              <a:t>FEE</a:t>
            </a:r>
            <a:r>
              <a:rPr lang="sr-Latn-RS" sz="1600" b="1" baseline="0"/>
              <a:t> CHARGED</a:t>
            </a:r>
            <a:r>
              <a:rPr lang="sr-Latn-RS" sz="1600" b="1"/>
              <a:t>,</a:t>
            </a:r>
            <a:r>
              <a:rPr lang="sr-Latn-RS" sz="1600" b="1" baseline="0"/>
              <a:t> BY PROJECT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5417007739838371"/>
          <c:y val="0.1955872703412074"/>
          <c:w val="0.49868173664092064"/>
          <c:h val="0.65757545931758532"/>
        </c:manualLayout>
      </c:layout>
      <c:pieChart>
        <c:varyColors val="1"/>
        <c:ser>
          <c:idx val="0"/>
          <c:order val="0"/>
          <c:tx>
            <c:strRef>
              <c:f>'By project'!$H$4</c:f>
              <c:strCache>
                <c:ptCount val="1"/>
                <c:pt idx="0">
                  <c:v>Total fee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A1-496C-9AB0-C2972851B8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4A1-496C-9AB0-C2972851B8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4A1-496C-9AB0-C2972851B8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'By project'!$F$5:$F$7</c:f>
              <c:strCache>
                <c:ptCount val="3"/>
                <c:pt idx="0">
                  <c:v>Debussy</c:v>
                </c:pt>
                <c:pt idx="1">
                  <c:v>Hercules</c:v>
                </c:pt>
                <c:pt idx="2">
                  <c:v>Zorro</c:v>
                </c:pt>
              </c:strCache>
            </c:strRef>
          </c:cat>
          <c:val>
            <c:numRef>
              <c:f>'By project'!$H$5:$H$7</c:f>
              <c:numCache>
                <c:formatCode>#,##0\ [$€-1]</c:formatCode>
                <c:ptCount val="3"/>
                <c:pt idx="0">
                  <c:v>589.5</c:v>
                </c:pt>
                <c:pt idx="1">
                  <c:v>357.5</c:v>
                </c:pt>
                <c:pt idx="2">
                  <c:v>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A1-496C-9AB0-C2972851B8B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/>
              <a:t>Time spent and fee charged, by place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4618215012000719E-2"/>
          <c:y val="0.28307221787648651"/>
          <c:w val="0.95076356997599853"/>
          <c:h val="0.565725161644866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place'!$G$4</c:f>
              <c:strCache>
                <c:ptCount val="1"/>
                <c:pt idx="0">
                  <c:v>Total minutes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'By place'!$F$5:$F$6</c:f>
              <c:strCache>
                <c:ptCount val="2"/>
                <c:pt idx="0">
                  <c:v>Client's office</c:v>
                </c:pt>
                <c:pt idx="1">
                  <c:v>My office</c:v>
                </c:pt>
              </c:strCache>
            </c:strRef>
          </c:cat>
          <c:val>
            <c:numRef>
              <c:f>'By place'!$G$5:$G$6</c:f>
              <c:numCache>
                <c:formatCode>#,##0</c:formatCode>
                <c:ptCount val="2"/>
                <c:pt idx="0">
                  <c:v>798</c:v>
                </c:pt>
                <c:pt idx="1">
                  <c:v>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01-4CCC-A7D5-0733BC23CCD7}"/>
            </c:ext>
          </c:extLst>
        </c:ser>
        <c:ser>
          <c:idx val="1"/>
          <c:order val="1"/>
          <c:tx>
            <c:strRef>
              <c:f>'By place'!$H$4</c:f>
              <c:strCache>
                <c:ptCount val="1"/>
                <c:pt idx="0">
                  <c:v>Total fee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'By place'!$F$5:$F$6</c:f>
              <c:strCache>
                <c:ptCount val="2"/>
                <c:pt idx="0">
                  <c:v>Client's office</c:v>
                </c:pt>
                <c:pt idx="1">
                  <c:v>My office</c:v>
                </c:pt>
              </c:strCache>
            </c:strRef>
          </c:cat>
          <c:val>
            <c:numRef>
              <c:f>'By place'!$H$5:$H$6</c:f>
              <c:numCache>
                <c:formatCode>#,##0\ [$€-1]</c:formatCode>
                <c:ptCount val="2"/>
                <c:pt idx="0">
                  <c:v>567</c:v>
                </c:pt>
                <c:pt idx="1">
                  <c:v>946.99999999999989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01-4CCC-A7D5-0733BC23CCD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00"/>
        <c:overlap val="-45"/>
        <c:axId val="705428848"/>
        <c:axId val="2071246112"/>
      </c:barChart>
      <c:catAx>
        <c:axId val="7054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71246112"/>
        <c:crosses val="autoZero"/>
        <c:auto val="1"/>
        <c:lblAlgn val="ctr"/>
        <c:lblOffset val="100"/>
        <c:noMultiLvlLbl val="0"/>
      </c:catAx>
      <c:valAx>
        <c:axId val="207124611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7054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 sz="1600" b="1"/>
              <a:t>TIME</a:t>
            </a:r>
            <a:r>
              <a:rPr lang="sr-Latn-RS" sz="1600" b="1" baseline="0"/>
              <a:t> SPENT</a:t>
            </a:r>
            <a:r>
              <a:rPr lang="sr-Latn-RS" sz="1600" b="1"/>
              <a:t>,</a:t>
            </a:r>
            <a:r>
              <a:rPr lang="sr-Latn-RS" sz="1600" b="1" baseline="0"/>
              <a:t> BY PLACE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5417007739838371"/>
          <c:y val="0.1955872703412074"/>
          <c:w val="0.49868173664092064"/>
          <c:h val="0.65757545931758532"/>
        </c:manualLayout>
      </c:layout>
      <c:pieChart>
        <c:varyColors val="1"/>
        <c:ser>
          <c:idx val="0"/>
          <c:order val="0"/>
          <c:tx>
            <c:strRef>
              <c:f>'By place'!$G$4</c:f>
              <c:strCache>
                <c:ptCount val="1"/>
                <c:pt idx="0">
                  <c:v>Total minutes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5CC-4DA5-B86A-06CBD7329F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5CC-4DA5-B86A-06CBD7329F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'By place'!$F$5:$F$6</c:f>
              <c:strCache>
                <c:ptCount val="2"/>
                <c:pt idx="0">
                  <c:v>Client's office</c:v>
                </c:pt>
                <c:pt idx="1">
                  <c:v>My office</c:v>
                </c:pt>
              </c:strCache>
            </c:strRef>
          </c:cat>
          <c:val>
            <c:numRef>
              <c:f>'By place'!$G$5:$G$6</c:f>
              <c:numCache>
                <c:formatCode>#,##0</c:formatCode>
                <c:ptCount val="2"/>
                <c:pt idx="0">
                  <c:v>798</c:v>
                </c:pt>
                <c:pt idx="1">
                  <c:v>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CC-4DA5-B86A-06CBD7329FA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 sz="1600" b="1"/>
              <a:t>FEE</a:t>
            </a:r>
            <a:r>
              <a:rPr lang="sr-Latn-RS" sz="1600" b="1" baseline="0"/>
              <a:t> CHARGED</a:t>
            </a:r>
            <a:r>
              <a:rPr lang="sr-Latn-RS" sz="1600" b="1"/>
              <a:t>,</a:t>
            </a:r>
            <a:r>
              <a:rPr lang="sr-Latn-RS" sz="1600" b="1" baseline="0"/>
              <a:t> BY PLACE</a:t>
            </a: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5417007739838371"/>
          <c:y val="0.1955872703412074"/>
          <c:w val="0.49868173664092064"/>
          <c:h val="0.65757545931758532"/>
        </c:manualLayout>
      </c:layout>
      <c:pieChart>
        <c:varyColors val="1"/>
        <c:ser>
          <c:idx val="0"/>
          <c:order val="0"/>
          <c:tx>
            <c:strRef>
              <c:f>'By place'!$H$4</c:f>
              <c:strCache>
                <c:ptCount val="1"/>
                <c:pt idx="0">
                  <c:v>Total fee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BB1-4895-82B6-523BDB31DB2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BB1-4895-82B6-523BDB31DB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'By place'!$F$5:$F$6</c:f>
              <c:strCache>
                <c:ptCount val="2"/>
                <c:pt idx="0">
                  <c:v>Client's office</c:v>
                </c:pt>
                <c:pt idx="1">
                  <c:v>My office</c:v>
                </c:pt>
              </c:strCache>
            </c:strRef>
          </c:cat>
          <c:val>
            <c:numRef>
              <c:f>'By place'!$H$5:$H$6</c:f>
              <c:numCache>
                <c:formatCode>#,##0\ [$€-1]</c:formatCode>
                <c:ptCount val="2"/>
                <c:pt idx="0">
                  <c:v>567</c:v>
                </c:pt>
                <c:pt idx="1">
                  <c:v>946.99999999999989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B1-4895-82B6-523BDB31DB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525865</xdr:colOff>
      <xdr:row>0</xdr:row>
      <xdr:rowOff>141516</xdr:rowOff>
    </xdr:from>
    <xdr:to>
      <xdr:col>16</xdr:col>
      <xdr:colOff>1219456</xdr:colOff>
      <xdr:row>1</xdr:row>
      <xdr:rowOff>337459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9C4BF98-D7A6-4A46-A84E-FD98D3951ED8}"/>
            </a:ext>
          </a:extLst>
        </xdr:cNvPr>
        <xdr:cNvSpPr txBox="1"/>
      </xdr:nvSpPr>
      <xdr:spPr>
        <a:xfrm>
          <a:off x="16745579" y="141516"/>
          <a:ext cx="3153763" cy="391886"/>
        </a:xfrm>
        <a:prstGeom prst="rect">
          <a:avLst/>
        </a:prstGeom>
        <a:solidFill>
          <a:srgbClr val="CCFF99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1600" b="1" baseline="0">
              <a:solidFill>
                <a:srgbClr val="FF0000"/>
              </a:solidFill>
              <a:latin typeface="Segoe UI Black" panose="020B0A02040204020203" pitchFamily="34" charset="0"/>
              <a:ea typeface="Segoe UI Black" panose="020B0A02040204020203" pitchFamily="34" charset="0"/>
            </a:rPr>
            <a:t>FILL ONLY GREEN CELLS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475130</xdr:colOff>
      <xdr:row>10</xdr:row>
      <xdr:rowOff>49306</xdr:rowOff>
    </xdr:from>
    <xdr:to>
      <xdr:col>7</xdr:col>
      <xdr:colOff>1138518</xdr:colOff>
      <xdr:row>28</xdr:row>
      <xdr:rowOff>53788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B30BED-CFD8-9C3A-7524-265E5E041B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291353</xdr:colOff>
      <xdr:row>1</xdr:row>
      <xdr:rowOff>85164</xdr:rowOff>
    </xdr:from>
    <xdr:to>
      <xdr:col>14</xdr:col>
      <xdr:colOff>251012</xdr:colOff>
      <xdr:row>16</xdr:row>
      <xdr:rowOff>94129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0612DBF-0208-D643-5589-CC733D9349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286870</xdr:colOff>
      <xdr:row>16</xdr:row>
      <xdr:rowOff>161364</xdr:rowOff>
    </xdr:from>
    <xdr:to>
      <xdr:col>14</xdr:col>
      <xdr:colOff>246529</xdr:colOff>
      <xdr:row>32</xdr:row>
      <xdr:rowOff>35859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E1ABDE8-432D-4F16-9D00-B0B0DC1CAF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475130</xdr:colOff>
      <xdr:row>10</xdr:row>
      <xdr:rowOff>49306</xdr:rowOff>
    </xdr:from>
    <xdr:to>
      <xdr:col>7</xdr:col>
      <xdr:colOff>1138518</xdr:colOff>
      <xdr:row>28</xdr:row>
      <xdr:rowOff>53788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AE5F30-BC7F-4494-9459-E56CB6D14D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295835</xdr:colOff>
      <xdr:row>1</xdr:row>
      <xdr:rowOff>134470</xdr:rowOff>
    </xdr:from>
    <xdr:to>
      <xdr:col>14</xdr:col>
      <xdr:colOff>255494</xdr:colOff>
      <xdr:row>16</xdr:row>
      <xdr:rowOff>143435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66BEB9D-58B4-4448-ADA8-182ED8C715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295835</xdr:colOff>
      <xdr:row>17</xdr:row>
      <xdr:rowOff>44824</xdr:rowOff>
    </xdr:from>
    <xdr:to>
      <xdr:col>14</xdr:col>
      <xdr:colOff>255494</xdr:colOff>
      <xdr:row>32</xdr:row>
      <xdr:rowOff>98614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130D028-3D0B-4B16-8405-5BC8047B9A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475130</xdr:colOff>
      <xdr:row>10</xdr:row>
      <xdr:rowOff>49306</xdr:rowOff>
    </xdr:from>
    <xdr:to>
      <xdr:col>7</xdr:col>
      <xdr:colOff>1138518</xdr:colOff>
      <xdr:row>28</xdr:row>
      <xdr:rowOff>53788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2CCD47-523D-4F47-88C7-04A70E612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295836</xdr:colOff>
      <xdr:row>1</xdr:row>
      <xdr:rowOff>71718</xdr:rowOff>
    </xdr:from>
    <xdr:to>
      <xdr:col>14</xdr:col>
      <xdr:colOff>255495</xdr:colOff>
      <xdr:row>16</xdr:row>
      <xdr:rowOff>80683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DDE1C4E-0B28-4FDC-B452-43A43645E2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295836</xdr:colOff>
      <xdr:row>16</xdr:row>
      <xdr:rowOff>161367</xdr:rowOff>
    </xdr:from>
    <xdr:to>
      <xdr:col>14</xdr:col>
      <xdr:colOff>255495</xdr:colOff>
      <xdr:row>32</xdr:row>
      <xdr:rowOff>35862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3E77BC6-363B-4374-BF15-13B9F073B4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475130</xdr:colOff>
      <xdr:row>10</xdr:row>
      <xdr:rowOff>49306</xdr:rowOff>
    </xdr:from>
    <xdr:to>
      <xdr:col>7</xdr:col>
      <xdr:colOff>1138518</xdr:colOff>
      <xdr:row>28</xdr:row>
      <xdr:rowOff>53788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BAF61D-F3E0-4953-860D-15FEDE0E9E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322730</xdr:colOff>
      <xdr:row>1</xdr:row>
      <xdr:rowOff>89647</xdr:rowOff>
    </xdr:from>
    <xdr:to>
      <xdr:col>14</xdr:col>
      <xdr:colOff>282389</xdr:colOff>
      <xdr:row>16</xdr:row>
      <xdr:rowOff>98612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4AA4C24-D1B9-4237-91C6-209A7FA07E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322730</xdr:colOff>
      <xdr:row>17</xdr:row>
      <xdr:rowOff>1</xdr:rowOff>
    </xdr:from>
    <xdr:to>
      <xdr:col>14</xdr:col>
      <xdr:colOff>282389</xdr:colOff>
      <xdr:row>32</xdr:row>
      <xdr:rowOff>53791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A4EDE98-B993-4A2E-B163-9949CB8547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orisnik" refreshedDate="45183.993680092593" createdVersion="8" refreshedVersion="8" minRefreshableVersion="3" recordCount="17" xr:uid="{3901084E-9269-44A7-98B8-31D392BAC445}">
  <cacheSource type="worksheet">
    <worksheetSource ref="B4:Q21" sheet="Time-tracking"/>
  </cacheSource>
  <cacheFields count="16">
    <cacheField name="Date" numFmtId="164">
      <sharedItems containsSemiMixedTypes="0" containsNonDate="0" containsDate="1" containsString="0" minDate="2023-10-02T00:00:00" maxDate="2023-12-16T00:00:00"/>
    </cacheField>
    <cacheField name="Year" numFmtId="3">
      <sharedItems/>
    </cacheField>
    <cacheField name="Month" numFmtId="3">
      <sharedItems count="3">
        <s v="October"/>
        <s v="November"/>
        <s v="December"/>
      </sharedItems>
    </cacheField>
    <cacheField name="Day" numFmtId="3">
      <sharedItems/>
    </cacheField>
    <cacheField name="Activity " numFmtId="0">
      <sharedItems/>
    </cacheField>
    <cacheField name="Project" numFmtId="0">
      <sharedItems count="3">
        <s v="Hercules"/>
        <s v="Zorro"/>
        <s v="Debussy"/>
      </sharedItems>
    </cacheField>
    <cacheField name="Place of work" numFmtId="0">
      <sharedItems count="2">
        <s v="My office"/>
        <s v="Client's office"/>
      </sharedItems>
    </cacheField>
    <cacheField name="Effort level" numFmtId="0">
      <sharedItems count="3">
        <s v="High"/>
        <s v="Medium"/>
        <s v="Low"/>
      </sharedItems>
    </cacheField>
    <cacheField name="Start time" numFmtId="165">
      <sharedItems containsSemiMixedTypes="0" containsNonDate="0" containsDate="1" containsString="0" minDate="1899-12-30T08:40:00" maxDate="1899-12-30T17:00:00"/>
    </cacheField>
    <cacheField name="Stop time" numFmtId="165">
      <sharedItems containsSemiMixedTypes="0" containsNonDate="0" containsDate="1" containsString="0" minDate="1899-12-30T11:07:00" maxDate="1899-12-30T19:16:00"/>
    </cacheField>
    <cacheField name="Duration" numFmtId="165">
      <sharedItems containsSemiMixedTypes="0" containsNonDate="0" containsDate="1" containsString="0" minDate="1899-12-30T01:42:00" maxDate="1899-12-30T04:14:00"/>
    </cacheField>
    <cacheField name="Hours" numFmtId="3">
      <sharedItems containsSemiMixedTypes="0" containsString="0" containsNumber="1" containsInteger="1" minValue="1" maxValue="4"/>
    </cacheField>
    <cacheField name="Minutes" numFmtId="3">
      <sharedItems containsSemiMixedTypes="0" containsString="0" containsNumber="1" containsInteger="1" minValue="4" maxValue="56"/>
    </cacheField>
    <cacheField name="Total minutes" numFmtId="3">
      <sharedItems containsSemiMixedTypes="0" containsString="0" containsNumber="1" containsInteger="1" minValue="102" maxValue="254"/>
    </cacheField>
    <cacheField name="Fee, per hour" numFmtId="167">
      <sharedItems containsSemiMixedTypes="0" containsString="0" containsNumber="1" containsInteger="1" minValue="25" maxValue="45"/>
    </cacheField>
    <cacheField name="Fee, total" numFmtId="168">
      <sharedItems containsSemiMixedTypes="0" containsString="0" containsNumber="1" minValue="47.916666666666671" maxValue="157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">
  <r>
    <d v="2023-10-02T00:00:00"/>
    <s v="2023"/>
    <x v="0"/>
    <s v="Monday"/>
    <s v="Logo design for the project"/>
    <x v="0"/>
    <x v="0"/>
    <x v="0"/>
    <d v="1899-12-30T10:10:00"/>
    <d v="1899-12-30T12:22:00"/>
    <d v="1899-12-30T02:12:00"/>
    <n v="2"/>
    <n v="12"/>
    <n v="132"/>
    <n v="30"/>
    <n v="66"/>
  </r>
  <r>
    <d v="2023-10-02T00:00:00"/>
    <s v="2023"/>
    <x v="0"/>
    <s v="Monday"/>
    <s v="Logo design for the project"/>
    <x v="0"/>
    <x v="0"/>
    <x v="0"/>
    <d v="1899-12-30T13:15:00"/>
    <d v="1899-12-30T14:57:00"/>
    <d v="1899-12-30T01:42:00"/>
    <n v="1"/>
    <n v="42"/>
    <n v="102"/>
    <n v="30"/>
    <n v="51"/>
  </r>
  <r>
    <d v="2023-10-02T00:00:00"/>
    <s v="2023"/>
    <x v="0"/>
    <s v="Monday"/>
    <s v="Logo design for the project"/>
    <x v="0"/>
    <x v="0"/>
    <x v="0"/>
    <d v="1899-12-30T16:00:00"/>
    <d v="1899-12-30T19:16:00"/>
    <d v="1899-12-30T03:16:00"/>
    <n v="3"/>
    <n v="16"/>
    <n v="196"/>
    <n v="30"/>
    <n v="98"/>
  </r>
  <r>
    <d v="2023-10-14T00:00:00"/>
    <s v="2023"/>
    <x v="0"/>
    <s v="Saturday"/>
    <s v="Brand book planning"/>
    <x v="1"/>
    <x v="1"/>
    <x v="1"/>
    <d v="1899-12-30T11:00:00"/>
    <d v="1899-12-30T13:45:00"/>
    <d v="1899-12-30T02:45:00"/>
    <n v="2"/>
    <n v="45"/>
    <n v="165"/>
    <n v="40"/>
    <n v="110"/>
  </r>
  <r>
    <d v="2023-10-14T00:00:00"/>
    <s v="2023"/>
    <x v="0"/>
    <s v="Saturday"/>
    <s v="Brand book planning"/>
    <x v="1"/>
    <x v="1"/>
    <x v="1"/>
    <d v="1899-12-30T15:00:00"/>
    <d v="1899-12-30T18:33:00"/>
    <d v="1899-12-30T03:33:00"/>
    <n v="3"/>
    <n v="33"/>
    <n v="213"/>
    <n v="40"/>
    <n v="142"/>
  </r>
  <r>
    <d v="2023-11-06T00:00:00"/>
    <s v="2023"/>
    <x v="1"/>
    <s v="Monday"/>
    <s v="Designing visuals for social media"/>
    <x v="2"/>
    <x v="0"/>
    <x v="0"/>
    <d v="1899-12-30T10:30:00"/>
    <d v="1899-12-30T13:04:00"/>
    <d v="1899-12-30T02:34:00"/>
    <n v="2"/>
    <n v="34"/>
    <n v="154"/>
    <n v="25"/>
    <n v="64.166666666666671"/>
  </r>
  <r>
    <d v="2023-11-06T00:00:00"/>
    <s v="2023"/>
    <x v="1"/>
    <s v="Monday"/>
    <s v="Designing visuals for social media"/>
    <x v="2"/>
    <x v="0"/>
    <x v="0"/>
    <d v="1899-12-30T15:00:00"/>
    <d v="1899-12-30T19:14:00"/>
    <d v="1899-12-30T04:14:00"/>
    <n v="4"/>
    <n v="14"/>
    <n v="254"/>
    <n v="25"/>
    <n v="105.83333333333334"/>
  </r>
  <r>
    <d v="2023-11-09T00:00:00"/>
    <s v="2023"/>
    <x v="1"/>
    <s v="Thursday"/>
    <s v="Designing visuals for social media"/>
    <x v="2"/>
    <x v="0"/>
    <x v="0"/>
    <d v="1899-12-30T09:45:00"/>
    <d v="1899-12-30T11:41:00"/>
    <d v="1899-12-30T01:56:00"/>
    <n v="1"/>
    <n v="56"/>
    <n v="116"/>
    <n v="25"/>
    <n v="48.333333333333336"/>
  </r>
  <r>
    <d v="2023-11-09T00:00:00"/>
    <s v="2023"/>
    <x v="1"/>
    <s v="Thursday"/>
    <s v="Designing visuals for social media"/>
    <x v="2"/>
    <x v="0"/>
    <x v="0"/>
    <d v="1899-12-30T12:30:00"/>
    <d v="1899-12-30T16:05:00"/>
    <d v="1899-12-30T03:35:00"/>
    <n v="3"/>
    <n v="35"/>
    <n v="215"/>
    <n v="25"/>
    <n v="89.583333333333343"/>
  </r>
  <r>
    <d v="2023-11-17T00:00:00"/>
    <s v="2023"/>
    <x v="1"/>
    <s v="Friday"/>
    <s v="Editing profile photos for a website"/>
    <x v="2"/>
    <x v="0"/>
    <x v="2"/>
    <d v="1899-12-30T14:15:00"/>
    <d v="1899-12-30T16:10:00"/>
    <d v="1899-12-30T01:55:00"/>
    <n v="1"/>
    <n v="55"/>
    <n v="115"/>
    <n v="25"/>
    <n v="47.916666666666671"/>
  </r>
  <r>
    <d v="2023-11-17T00:00:00"/>
    <s v="2023"/>
    <x v="1"/>
    <s v="Friday"/>
    <s v="Editing profile photos for a website"/>
    <x v="2"/>
    <x v="0"/>
    <x v="2"/>
    <d v="1899-12-30T17:00:00"/>
    <d v="1899-12-30T19:04:00"/>
    <d v="1899-12-30T02:04:00"/>
    <n v="2"/>
    <n v="4"/>
    <n v="124"/>
    <n v="25"/>
    <n v="51.666666666666671"/>
  </r>
  <r>
    <d v="2023-12-10T00:00:00"/>
    <s v="2023"/>
    <x v="2"/>
    <s v="Sunday"/>
    <s v="Workshop &quot;Minimalist design for video&quot;"/>
    <x v="1"/>
    <x v="1"/>
    <x v="0"/>
    <d v="1899-12-30T10:00:00"/>
    <d v="1899-12-30T13:30:00"/>
    <d v="1899-12-30T03:30:00"/>
    <n v="3"/>
    <n v="30"/>
    <n v="210"/>
    <n v="45"/>
    <n v="157.5"/>
  </r>
  <r>
    <d v="2023-12-10T00:00:00"/>
    <s v="2023"/>
    <x v="2"/>
    <s v="Sunday"/>
    <s v="Workshop &quot;Minimalist design for video&quot;"/>
    <x v="1"/>
    <x v="1"/>
    <x v="0"/>
    <d v="1899-12-30T15:00:00"/>
    <d v="1899-12-30T18:30:00"/>
    <d v="1899-12-30T03:30:00"/>
    <n v="3"/>
    <n v="30"/>
    <n v="210"/>
    <n v="45"/>
    <n v="157.5"/>
  </r>
  <r>
    <d v="2023-12-12T00:00:00"/>
    <s v="2023"/>
    <x v="2"/>
    <s v="Thuesday"/>
    <s v="Design of promotional materials"/>
    <x v="2"/>
    <x v="0"/>
    <x v="1"/>
    <d v="1899-12-30T09:00:00"/>
    <d v="1899-12-30T12:11:00"/>
    <d v="1899-12-30T03:11:00"/>
    <n v="3"/>
    <n v="11"/>
    <n v="191"/>
    <n v="30"/>
    <n v="95.5"/>
  </r>
  <r>
    <d v="2023-12-12T00:00:00"/>
    <s v="2023"/>
    <x v="2"/>
    <s v="Thuesday"/>
    <s v="Design of promotional materials"/>
    <x v="2"/>
    <x v="0"/>
    <x v="1"/>
    <d v="1899-12-30T14:30:00"/>
    <d v="1899-12-30T17:23:00"/>
    <d v="1899-12-30T02:53:00"/>
    <n v="2"/>
    <n v="53"/>
    <n v="173"/>
    <n v="30"/>
    <n v="86.5"/>
  </r>
  <r>
    <d v="2023-12-15T00:00:00"/>
    <s v="2023"/>
    <x v="2"/>
    <s v="Friday"/>
    <s v="Sales manager job advertisement design"/>
    <x v="0"/>
    <x v="0"/>
    <x v="1"/>
    <d v="1899-12-30T08:40:00"/>
    <d v="1899-12-30T11:07:00"/>
    <d v="1899-12-30T02:27:00"/>
    <n v="2"/>
    <n v="27"/>
    <n v="147"/>
    <n v="30"/>
    <n v="73.5"/>
  </r>
  <r>
    <d v="2023-12-15T00:00:00"/>
    <s v="2023"/>
    <x v="2"/>
    <s v="Friday"/>
    <s v="Sales manager job advertisement design"/>
    <x v="0"/>
    <x v="0"/>
    <x v="1"/>
    <d v="1899-12-30T12:00:00"/>
    <d v="1899-12-30T14:18:00"/>
    <d v="1899-12-30T02:18:00"/>
    <n v="2"/>
    <n v="18"/>
    <n v="138"/>
    <n v="30"/>
    <n v="6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741B35-B6A6-43B3-A70D-CC18F1AD33E9}" name="PivotTable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4:D8" firstHeaderRow="0" firstDataRow="1" firstDataCol="1"/>
  <pivotFields count="16"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3" showAll="0"/>
    <pivotField numFmtId="3" showAll="0"/>
    <pivotField dataField="1" numFmtId="3" showAll="0"/>
    <pivotField showAll="0"/>
    <pivotField dataField="1" numFmtId="168"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otal minutes" fld="13" baseField="0" baseItem="0"/>
    <dataField name="Sum of Fee, total" fld="15" baseField="0" baseItem="0"/>
  </dataFields>
  <formats count="14">
    <format dxfId="56">
      <pivotArea field="2" type="button" dataOnly="0" labelOnly="1" outline="0" axis="axisRow" fieldPosition="0"/>
    </format>
    <format dxfId="55">
      <pivotArea dataOnly="0" labelOnly="1" fieldPosition="0">
        <references count="1">
          <reference field="2" count="0"/>
        </references>
      </pivotArea>
    </format>
    <format dxfId="54">
      <pivotArea dataOnly="0" labelOnly="1" grandRow="1" outline="0" fieldPosition="0"/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field="2" type="button" dataOnly="0" labelOnly="1" outline="0" axis="axisRow" fieldPosition="0"/>
    </format>
    <format dxfId="50">
      <pivotArea dataOnly="0" labelOnly="1" fieldPosition="0">
        <references count="1">
          <reference field="2" count="0"/>
        </references>
      </pivotArea>
    </format>
    <format dxfId="49">
      <pivotArea dataOnly="0" labelOnly="1" grandRow="1" outline="0" fieldPosition="0"/>
    </format>
    <format dxfId="4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7">
      <pivotArea field="2" type="button" dataOnly="0" labelOnly="1" outline="0" axis="axisRow" fieldPosition="0"/>
    </format>
    <format dxfId="46">
      <pivotArea dataOnly="0" labelOnly="1" fieldPosition="0">
        <references count="1">
          <reference field="2" count="0"/>
        </references>
      </pivotArea>
    </format>
    <format dxfId="45">
      <pivotArea dataOnly="0" labelOnly="1" grandRow="1" outline="0" fieldPosition="0"/>
    </format>
    <format dxfId="44">
      <pivotArea outline="0" collapsedLevelsAreSubtotals="1" fieldPosition="0"/>
    </format>
    <format dxfId="4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61930A-7072-47C9-8AA5-120C13E1D3D8}" name="PivotTable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4:D8" firstHeaderRow="0" firstDataRow="1" firstDataCol="1"/>
  <pivotFields count="16">
    <pivotField showAll="0"/>
    <pivotField showAll="0"/>
    <pivotField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4">
        <item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numFmtId="3" showAll="0"/>
    <pivotField numFmtId="3" showAll="0"/>
    <pivotField dataField="1" numFmtId="3" showAll="0"/>
    <pivotField showAll="0"/>
    <pivotField dataField="1" numFmtId="168" showAll="0"/>
  </pivotFields>
  <rowFields count="1">
    <field x="5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otal minutes" fld="13" baseField="0" baseItem="0"/>
    <dataField name="Sum of Fee, total" fld="15" baseField="0" baseItem="0"/>
  </dataFields>
  <formats count="11">
    <format dxfId="42">
      <pivotArea field="2" type="button" dataOnly="0" labelOnly="1" outline="0"/>
    </format>
    <format dxfId="41">
      <pivotArea dataOnly="0" labelOnly="1" grandRow="1" outline="0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field="2" type="button" dataOnly="0" labelOnly="1" outline="0"/>
    </format>
    <format dxfId="37">
      <pivotArea dataOnly="0" labelOnly="1" grandRow="1" outline="0" fieldPosition="0"/>
    </format>
    <format dxfId="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">
      <pivotArea field="2" type="button" dataOnly="0" labelOnly="1" outline="0"/>
    </format>
    <format dxfId="34">
      <pivotArea dataOnly="0" labelOnly="1" grandRow="1" outline="0" fieldPosition="0"/>
    </format>
    <format dxfId="33">
      <pivotArea outline="0" collapsedLevelsAreSubtotals="1" fieldPosition="0"/>
    </format>
    <format dxfId="3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A054ED-68B3-466A-BF4D-2EBEE7431142}" name="PivotTable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4:D7" firstHeaderRow="0" firstDataRow="1" firstDataCol="1"/>
  <pivotFields count="16">
    <pivotField showAll="0"/>
    <pivotField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numFmtId="3" showAll="0"/>
    <pivotField numFmtId="3" showAll="0"/>
    <pivotField dataField="1" numFmtId="3" showAll="0"/>
    <pivotField showAll="0"/>
    <pivotField dataField="1" numFmtId="168" showAll="0"/>
  </pivotFields>
  <rowFields count="1">
    <field x="6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otal minutes" fld="13" baseField="0" baseItem="0"/>
    <dataField name="Sum of Fee, total" fld="15" baseField="0" baseItem="0"/>
  </dataFields>
  <formats count="11">
    <format dxfId="31">
      <pivotArea field="2" type="button" dataOnly="0" labelOnly="1" outline="0"/>
    </format>
    <format dxfId="30">
      <pivotArea dataOnly="0" labelOnly="1" grandRow="1" outline="0" fieldPosition="0"/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2" type="button" dataOnly="0" labelOnly="1" outline="0"/>
    </format>
    <format dxfId="26">
      <pivotArea dataOnly="0" labelOnly="1" grandRow="1" outline="0" fieldPosition="0"/>
    </format>
    <format dxfId="2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4">
      <pivotArea field="2" type="button" dataOnly="0" labelOnly="1" outline="0"/>
    </format>
    <format dxfId="23">
      <pivotArea dataOnly="0" labelOnly="1" grandRow="1" outline="0" fieldPosition="0"/>
    </format>
    <format dxfId="22">
      <pivotArea outline="0" collapsedLevelsAreSubtotals="1" fieldPosition="0"/>
    </format>
    <format dxfId="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C0FD886-924B-40A5-A4E8-63F3EDFC62E0}" name="PivotTable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4:D8" firstHeaderRow="0" firstDataRow="1" firstDataCol="1"/>
  <pivotFields count="16">
    <pivotField showAll="0"/>
    <pivotField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axis="axisRow" showAll="0">
      <items count="4">
        <item x="0"/>
        <item x="2"/>
        <item x="1"/>
        <item t="default"/>
      </items>
    </pivotField>
    <pivotField showAll="0"/>
    <pivotField showAll="0"/>
    <pivotField showAll="0"/>
    <pivotField numFmtId="3" showAll="0"/>
    <pivotField numFmtId="3" showAll="0"/>
    <pivotField dataField="1" numFmtId="3" showAll="0"/>
    <pivotField showAll="0"/>
    <pivotField dataField="1" numFmtId="168" showAll="0"/>
  </pivotFields>
  <rowFields count="1">
    <field x="7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otal minutes" fld="13" baseField="0" baseItem="0"/>
    <dataField name="Sum of Fee, total" fld="15" baseField="0" baseItem="0"/>
  </dataFields>
  <formats count="11">
    <format dxfId="20">
      <pivotArea field="2" type="button" dataOnly="0" labelOnly="1" outline="0"/>
    </format>
    <format dxfId="19">
      <pivotArea dataOnly="0" labelOnly="1" grandRow="1" outline="0" fieldPosition="0"/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2" type="button" dataOnly="0" labelOnly="1" outline="0"/>
    </format>
    <format dxfId="15">
      <pivotArea dataOnly="0" labelOnly="1" grandRow="1" outline="0" fieldPosition="0"/>
    </format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">
      <pivotArea field="2" type="button" dataOnly="0" labelOnly="1" outline="0"/>
    </format>
    <format dxfId="12">
      <pivotArea dataOnly="0" labelOnly="1" grandRow="1" outline="0" fieldPosition="0"/>
    </format>
    <format dxfId="11">
      <pivotArea outline="0" collapsedLevelsAreSubtotals="1" fieldPosition="0"/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0B5BF-6DE0-494B-AD54-235E4DE82F37}">
  <sheetPr>
    <tabColor theme="5" tint="0.39997558519241921"/>
    <pageSetUpPr fitToPage="1"/>
  </sheetPr>
  <dimension ref="A1:D18"/>
  <sheetViews>
    <sheetView showGridLines="0" tabSelected="1" zoomScale="90" zoomScaleNormal="90" workbookViewId="0">
      <selection activeCell="B4" sqref="B4"/>
    </sheetView>
  </sheetViews>
  <sheetFormatPr defaultColWidth="9.109375" defaultRowHeight="14.4" x14ac:dyDescent="0.3"/>
  <cols>
    <col min="1" max="1" width="1.88671875" style="57" customWidth="1"/>
    <col min="2" max="2" width="48.21875" style="58" customWidth="1"/>
    <col min="3" max="3" width="0.6640625" style="58" customWidth="1"/>
    <col min="4" max="4" width="148" style="59" customWidth="1"/>
    <col min="5" max="16384" width="9.109375" style="57"/>
  </cols>
  <sheetData>
    <row r="1" spans="1:4" ht="6" customHeight="1" x14ac:dyDescent="0.3">
      <c r="A1" s="57" t="s">
        <v>48</v>
      </c>
    </row>
    <row r="2" spans="1:4" ht="29.4" x14ac:dyDescent="0.3">
      <c r="B2" s="67" t="s">
        <v>65</v>
      </c>
    </row>
    <row r="3" spans="1:4" ht="3.75" customHeight="1" x14ac:dyDescent="0.3"/>
    <row r="4" spans="1:4" ht="21" customHeight="1" x14ac:dyDescent="0.3">
      <c r="B4" s="60" t="s">
        <v>49</v>
      </c>
      <c r="C4" s="61"/>
      <c r="D4" s="62" t="s">
        <v>58</v>
      </c>
    </row>
    <row r="5" spans="1:4" ht="3.75" customHeight="1" x14ac:dyDescent="0.3">
      <c r="B5" s="63"/>
      <c r="C5" s="61"/>
      <c r="D5" s="64"/>
    </row>
    <row r="6" spans="1:4" ht="21" customHeight="1" x14ac:dyDescent="0.3">
      <c r="B6" s="60" t="s">
        <v>50</v>
      </c>
      <c r="C6" s="61"/>
      <c r="D6" s="62" t="s">
        <v>59</v>
      </c>
    </row>
    <row r="7" spans="1:4" ht="3.75" customHeight="1" x14ac:dyDescent="0.3">
      <c r="B7" s="63"/>
      <c r="C7" s="61"/>
      <c r="D7" s="64"/>
    </row>
    <row r="8" spans="1:4" ht="21" customHeight="1" x14ac:dyDescent="0.3">
      <c r="B8" s="60" t="s">
        <v>51</v>
      </c>
      <c r="C8" s="61"/>
      <c r="D8" s="62" t="s">
        <v>60</v>
      </c>
    </row>
    <row r="9" spans="1:4" ht="3.75" customHeight="1" x14ac:dyDescent="0.3">
      <c r="B9" s="63"/>
      <c r="C9" s="61"/>
      <c r="D9" s="64"/>
    </row>
    <row r="10" spans="1:4" ht="21" customHeight="1" x14ac:dyDescent="0.3">
      <c r="B10" s="60" t="s">
        <v>52</v>
      </c>
      <c r="C10" s="61"/>
      <c r="D10" s="62" t="s">
        <v>61</v>
      </c>
    </row>
    <row r="11" spans="1:4" ht="3.75" customHeight="1" x14ac:dyDescent="0.3">
      <c r="B11" s="63"/>
      <c r="C11" s="61"/>
      <c r="D11" s="64"/>
    </row>
    <row r="12" spans="1:4" ht="21" customHeight="1" x14ac:dyDescent="0.3">
      <c r="B12" s="60" t="s">
        <v>53</v>
      </c>
      <c r="C12" s="61"/>
      <c r="D12" s="62" t="s">
        <v>62</v>
      </c>
    </row>
    <row r="13" spans="1:4" ht="3.75" customHeight="1" x14ac:dyDescent="0.3">
      <c r="B13" s="63"/>
      <c r="C13" s="61"/>
      <c r="D13" s="64"/>
    </row>
    <row r="14" spans="1:4" ht="21" customHeight="1" x14ac:dyDescent="0.3">
      <c r="B14" s="60" t="s">
        <v>54</v>
      </c>
      <c r="C14" s="61"/>
      <c r="D14" s="62" t="s">
        <v>63</v>
      </c>
    </row>
    <row r="15" spans="1:4" ht="3.75" customHeight="1" x14ac:dyDescent="0.3">
      <c r="B15" s="63"/>
      <c r="C15" s="61"/>
      <c r="D15" s="64"/>
    </row>
    <row r="16" spans="1:4" ht="21" customHeight="1" x14ac:dyDescent="0.3">
      <c r="B16" s="60" t="s">
        <v>55</v>
      </c>
      <c r="C16" s="61"/>
      <c r="D16" s="62" t="s">
        <v>64</v>
      </c>
    </row>
    <row r="17" spans="2:4" ht="3.75" customHeight="1" x14ac:dyDescent="0.3">
      <c r="B17" s="63"/>
      <c r="C17" s="61"/>
      <c r="D17" s="64"/>
    </row>
    <row r="18" spans="2:4" ht="21" customHeight="1" x14ac:dyDescent="0.3">
      <c r="B18" s="66" t="s">
        <v>56</v>
      </c>
      <c r="C18" s="61"/>
      <c r="D18" s="65" t="s">
        <v>57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&amp;L&amp;"Arial Narrow,Regular"&amp;9© Naša mreža &amp; Igor Lazarević 2023, igor.lazarevic.77@gmail.com&amp;R&amp;"Arial Narrow,Regular"&amp;P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D1E6E-E4B5-4B4C-8E4C-A8D536857705}">
  <sheetPr>
    <tabColor rgb="FFCCFF66"/>
    <pageSetUpPr fitToPage="1"/>
  </sheetPr>
  <dimension ref="B2:Q38"/>
  <sheetViews>
    <sheetView showGridLines="0" zoomScale="70" zoomScaleNormal="70" workbookViewId="0">
      <pane ySplit="4" topLeftCell="A11" activePane="bottomLeft" state="frozen"/>
      <selection pane="bottomLeft" activeCell="B4" sqref="B4"/>
    </sheetView>
  </sheetViews>
  <sheetFormatPr defaultColWidth="9.109375" defaultRowHeight="15.6" x14ac:dyDescent="0.3"/>
  <cols>
    <col min="1" max="1" width="3.44140625" style="5" customWidth="1"/>
    <col min="2" max="2" width="24.88671875" style="6" customWidth="1"/>
    <col min="3" max="3" width="10.109375" style="6" customWidth="1"/>
    <col min="4" max="4" width="15.6640625" style="6" customWidth="1"/>
    <col min="5" max="5" width="15.88671875" style="6" customWidth="1"/>
    <col min="6" max="6" width="44.33203125" style="6" customWidth="1"/>
    <col min="7" max="7" width="17" style="6" customWidth="1"/>
    <col min="8" max="8" width="19.88671875" style="6" customWidth="1"/>
    <col min="9" max="9" width="15.77734375" style="6" customWidth="1"/>
    <col min="10" max="11" width="16.109375" style="7" customWidth="1"/>
    <col min="12" max="12" width="12.33203125" style="8" customWidth="1"/>
    <col min="13" max="14" width="12.33203125" style="9" customWidth="1"/>
    <col min="15" max="15" width="18" style="9" customWidth="1"/>
    <col min="16" max="16" width="17.88671875" style="10" customWidth="1"/>
    <col min="17" max="17" width="17.88671875" style="11" customWidth="1"/>
    <col min="18" max="16384" width="9.109375" style="5"/>
  </cols>
  <sheetData>
    <row r="2" spans="2:17" ht="27" x14ac:dyDescent="0.3">
      <c r="B2" s="45" t="s">
        <v>34</v>
      </c>
    </row>
    <row r="3" spans="2:17" ht="4.8" customHeight="1" x14ac:dyDescent="0.3"/>
    <row r="4" spans="2:17" s="12" customFormat="1" x14ac:dyDescent="0.3">
      <c r="B4" s="13" t="s">
        <v>0</v>
      </c>
      <c r="C4" s="13" t="s">
        <v>1</v>
      </c>
      <c r="D4" s="13" t="s">
        <v>2</v>
      </c>
      <c r="E4" s="13" t="s">
        <v>3</v>
      </c>
      <c r="F4" s="13" t="s">
        <v>13</v>
      </c>
      <c r="G4" s="13" t="s">
        <v>14</v>
      </c>
      <c r="H4" s="13" t="s">
        <v>4</v>
      </c>
      <c r="I4" s="13" t="s">
        <v>18</v>
      </c>
      <c r="J4" s="14" t="s">
        <v>5</v>
      </c>
      <c r="K4" s="14" t="s">
        <v>6</v>
      </c>
      <c r="L4" s="15" t="s">
        <v>7</v>
      </c>
      <c r="M4" s="16" t="s">
        <v>8</v>
      </c>
      <c r="N4" s="16" t="s">
        <v>9</v>
      </c>
      <c r="O4" s="16" t="s">
        <v>10</v>
      </c>
      <c r="P4" s="17" t="s">
        <v>11</v>
      </c>
      <c r="Q4" s="18" t="s">
        <v>12</v>
      </c>
    </row>
    <row r="5" spans="2:17" x14ac:dyDescent="0.3">
      <c r="B5" s="19">
        <v>45201</v>
      </c>
      <c r="C5" s="20" t="str">
        <f t="shared" ref="C5" si="0">TEXT(B5,"yyyy")</f>
        <v>2023</v>
      </c>
      <c r="D5" s="20" t="str">
        <f t="shared" ref="D5" si="1">IF(MONTH(B5)=1,"January",IF(MONTH(B5)=2,"February",IF(MONTH(B5)=3,"March",IF(MONTH(B5)=4,"April",IF(MONTH(B5)=5,"May",IF(MONTH(B5)=6,"June",IF(MONTH(B5)=7,"July",IF(MONTH(B5)=8,"August",IF(MONTH(B5)=9,"September",IF(MONTH(B5)=10,"October",IF(MONTH(B5)=11,"November",IF(MONTH(B5)=12,"December"))))))))))))</f>
        <v>October</v>
      </c>
      <c r="E5" s="20" t="str">
        <f t="shared" ref="E5" si="2">IF(WEEKDAY(B5,2)=1,"Monday",IF(WEEKDAY(B5,2)=2,"Thuesday",IF(WEEKDAY(B5,2)=3,"Wednesday",IF(WEEKDAY(B5,2)=4,"Thursday",IF(WEEKDAY(B5,2)=5,"Friday",IF(WEEKDAY(B5,2)=6,"Saturday",IF(WEEKDAY(B5,2)=7,"Sunday")))))))</f>
        <v>Monday</v>
      </c>
      <c r="F5" s="21" t="s">
        <v>26</v>
      </c>
      <c r="G5" s="21" t="s">
        <v>20</v>
      </c>
      <c r="H5" s="21" t="s">
        <v>33</v>
      </c>
      <c r="I5" s="21" t="s">
        <v>24</v>
      </c>
      <c r="J5" s="22">
        <v>0.4236111111111111</v>
      </c>
      <c r="K5" s="22">
        <v>0.51527777777777783</v>
      </c>
      <c r="L5" s="23">
        <f t="shared" ref="L5" si="3">K5-J5</f>
        <v>9.166666666666673E-2</v>
      </c>
      <c r="M5" s="24">
        <f t="shared" ref="M5" si="4">HOUR(L5)</f>
        <v>2</v>
      </c>
      <c r="N5" s="24">
        <f t="shared" ref="N5" si="5">MINUTE(L5)</f>
        <v>12</v>
      </c>
      <c r="O5" s="24">
        <f t="shared" ref="O5" si="6">M5*60+N5</f>
        <v>132</v>
      </c>
      <c r="P5" s="25">
        <v>30</v>
      </c>
      <c r="Q5" s="26">
        <f t="shared" ref="Q5" si="7">(P5/60)*O5</f>
        <v>66</v>
      </c>
    </row>
    <row r="6" spans="2:17" x14ac:dyDescent="0.3">
      <c r="B6" s="19">
        <v>45201</v>
      </c>
      <c r="C6" s="20" t="str">
        <f t="shared" ref="C6:C21" si="8">TEXT(B6,"yyyy")</f>
        <v>2023</v>
      </c>
      <c r="D6" s="20" t="str">
        <f t="shared" ref="D6:D21" si="9">IF(MONTH(B6)=1,"January",IF(MONTH(B6)=2,"February",IF(MONTH(B6)=3,"March",IF(MONTH(B6)=4,"April",IF(MONTH(B6)=5,"May",IF(MONTH(B6)=6,"June",IF(MONTH(B6)=7,"July",IF(MONTH(B6)=8,"August",IF(MONTH(B6)=9,"September",IF(MONTH(B6)=10,"October",IF(MONTH(B6)=11,"November",IF(MONTH(B6)=12,"December"))))))))))))</f>
        <v>October</v>
      </c>
      <c r="E6" s="20" t="str">
        <f t="shared" ref="E6:E21" si="10">IF(WEEKDAY(B6,2)=1,"Monday",IF(WEEKDAY(B6,2)=2,"Thuesday",IF(WEEKDAY(B6,2)=3,"Wednesday",IF(WEEKDAY(B6,2)=4,"Thursday",IF(WEEKDAY(B6,2)=5,"Friday",IF(WEEKDAY(B6,2)=6,"Saturday",IF(WEEKDAY(B6,2)=7,"Sunday")))))))</f>
        <v>Monday</v>
      </c>
      <c r="F6" s="21" t="s">
        <v>26</v>
      </c>
      <c r="G6" s="21" t="s">
        <v>20</v>
      </c>
      <c r="H6" s="21" t="s">
        <v>33</v>
      </c>
      <c r="I6" s="21" t="s">
        <v>24</v>
      </c>
      <c r="J6" s="22">
        <v>0.55208333333333337</v>
      </c>
      <c r="K6" s="22">
        <v>0.62291666666666667</v>
      </c>
      <c r="L6" s="23">
        <f t="shared" ref="L6:L21" si="11">K6-J6</f>
        <v>7.0833333333333304E-2</v>
      </c>
      <c r="M6" s="24">
        <f t="shared" ref="M6:M21" si="12">HOUR(L6)</f>
        <v>1</v>
      </c>
      <c r="N6" s="24">
        <f t="shared" ref="N6:N21" si="13">MINUTE(L6)</f>
        <v>42</v>
      </c>
      <c r="O6" s="24">
        <f t="shared" ref="O6:O21" si="14">M6*60+N6</f>
        <v>102</v>
      </c>
      <c r="P6" s="25">
        <v>30</v>
      </c>
      <c r="Q6" s="26">
        <f t="shared" ref="Q6:Q21" si="15">(P6/60)*O6</f>
        <v>51</v>
      </c>
    </row>
    <row r="7" spans="2:17" x14ac:dyDescent="0.3">
      <c r="B7" s="19">
        <v>45201</v>
      </c>
      <c r="C7" s="20" t="str">
        <f t="shared" si="8"/>
        <v>2023</v>
      </c>
      <c r="D7" s="20" t="str">
        <f t="shared" si="9"/>
        <v>October</v>
      </c>
      <c r="E7" s="20" t="str">
        <f t="shared" si="10"/>
        <v>Monday</v>
      </c>
      <c r="F7" s="21" t="s">
        <v>26</v>
      </c>
      <c r="G7" s="21" t="s">
        <v>20</v>
      </c>
      <c r="H7" s="21" t="s">
        <v>33</v>
      </c>
      <c r="I7" s="21" t="s">
        <v>24</v>
      </c>
      <c r="J7" s="22">
        <v>0.66666666666666663</v>
      </c>
      <c r="K7" s="22">
        <v>0.8027777777777777</v>
      </c>
      <c r="L7" s="23">
        <f t="shared" si="11"/>
        <v>0.13611111111111107</v>
      </c>
      <c r="M7" s="24">
        <f t="shared" si="12"/>
        <v>3</v>
      </c>
      <c r="N7" s="24">
        <f t="shared" si="13"/>
        <v>16</v>
      </c>
      <c r="O7" s="24">
        <f t="shared" si="14"/>
        <v>196</v>
      </c>
      <c r="P7" s="25">
        <v>30</v>
      </c>
      <c r="Q7" s="26">
        <f t="shared" si="15"/>
        <v>98</v>
      </c>
    </row>
    <row r="8" spans="2:17" x14ac:dyDescent="0.3">
      <c r="B8" s="19">
        <v>45213</v>
      </c>
      <c r="C8" s="20" t="str">
        <f t="shared" si="8"/>
        <v>2023</v>
      </c>
      <c r="D8" s="20" t="str">
        <f t="shared" si="9"/>
        <v>October</v>
      </c>
      <c r="E8" s="20" t="str">
        <f t="shared" si="10"/>
        <v>Saturday</v>
      </c>
      <c r="F8" s="21" t="s">
        <v>27</v>
      </c>
      <c r="G8" s="21" t="s">
        <v>21</v>
      </c>
      <c r="H8" s="21" t="s">
        <v>22</v>
      </c>
      <c r="I8" s="21" t="s">
        <v>23</v>
      </c>
      <c r="J8" s="22">
        <v>0.45833333333333331</v>
      </c>
      <c r="K8" s="22">
        <v>0.57291666666666663</v>
      </c>
      <c r="L8" s="23">
        <f t="shared" si="11"/>
        <v>0.11458333333333331</v>
      </c>
      <c r="M8" s="24">
        <f t="shared" si="12"/>
        <v>2</v>
      </c>
      <c r="N8" s="24">
        <f t="shared" si="13"/>
        <v>45</v>
      </c>
      <c r="O8" s="24">
        <f t="shared" si="14"/>
        <v>165</v>
      </c>
      <c r="P8" s="25">
        <v>40</v>
      </c>
      <c r="Q8" s="26">
        <f t="shared" si="15"/>
        <v>110</v>
      </c>
    </row>
    <row r="9" spans="2:17" x14ac:dyDescent="0.3">
      <c r="B9" s="19">
        <v>45213</v>
      </c>
      <c r="C9" s="20" t="str">
        <f t="shared" si="8"/>
        <v>2023</v>
      </c>
      <c r="D9" s="20" t="str">
        <f t="shared" si="9"/>
        <v>October</v>
      </c>
      <c r="E9" s="20" t="str">
        <f t="shared" si="10"/>
        <v>Saturday</v>
      </c>
      <c r="F9" s="21" t="s">
        <v>27</v>
      </c>
      <c r="G9" s="21" t="s">
        <v>21</v>
      </c>
      <c r="H9" s="21" t="s">
        <v>22</v>
      </c>
      <c r="I9" s="21" t="s">
        <v>23</v>
      </c>
      <c r="J9" s="22">
        <v>0.625</v>
      </c>
      <c r="K9" s="22">
        <v>0.7729166666666667</v>
      </c>
      <c r="L9" s="23">
        <f t="shared" si="11"/>
        <v>0.1479166666666667</v>
      </c>
      <c r="M9" s="24">
        <f t="shared" si="12"/>
        <v>3</v>
      </c>
      <c r="N9" s="24">
        <f t="shared" si="13"/>
        <v>33</v>
      </c>
      <c r="O9" s="24">
        <f t="shared" si="14"/>
        <v>213</v>
      </c>
      <c r="P9" s="25">
        <v>40</v>
      </c>
      <c r="Q9" s="26">
        <f t="shared" si="15"/>
        <v>142</v>
      </c>
    </row>
    <row r="10" spans="2:17" x14ac:dyDescent="0.3">
      <c r="B10" s="19">
        <v>45236</v>
      </c>
      <c r="C10" s="20" t="str">
        <f t="shared" si="8"/>
        <v>2023</v>
      </c>
      <c r="D10" s="20" t="str">
        <f t="shared" si="9"/>
        <v>November</v>
      </c>
      <c r="E10" s="20" t="str">
        <f t="shared" si="10"/>
        <v>Monday</v>
      </c>
      <c r="F10" s="21" t="s">
        <v>28</v>
      </c>
      <c r="G10" s="21" t="s">
        <v>32</v>
      </c>
      <c r="H10" s="21" t="s">
        <v>33</v>
      </c>
      <c r="I10" s="21" t="s">
        <v>24</v>
      </c>
      <c r="J10" s="22">
        <v>0.4375</v>
      </c>
      <c r="K10" s="22">
        <v>0.5444444444444444</v>
      </c>
      <c r="L10" s="23">
        <f t="shared" si="11"/>
        <v>0.1069444444444444</v>
      </c>
      <c r="M10" s="24">
        <f t="shared" si="12"/>
        <v>2</v>
      </c>
      <c r="N10" s="24">
        <f t="shared" si="13"/>
        <v>34</v>
      </c>
      <c r="O10" s="24">
        <f t="shared" si="14"/>
        <v>154</v>
      </c>
      <c r="P10" s="25">
        <v>25</v>
      </c>
      <c r="Q10" s="26">
        <f t="shared" si="15"/>
        <v>64.166666666666671</v>
      </c>
    </row>
    <row r="11" spans="2:17" x14ac:dyDescent="0.3">
      <c r="B11" s="19">
        <v>45236</v>
      </c>
      <c r="C11" s="20" t="str">
        <f t="shared" si="8"/>
        <v>2023</v>
      </c>
      <c r="D11" s="20" t="str">
        <f t="shared" si="9"/>
        <v>November</v>
      </c>
      <c r="E11" s="20" t="str">
        <f t="shared" si="10"/>
        <v>Monday</v>
      </c>
      <c r="F11" s="21" t="s">
        <v>28</v>
      </c>
      <c r="G11" s="21" t="s">
        <v>32</v>
      </c>
      <c r="H11" s="21" t="s">
        <v>33</v>
      </c>
      <c r="I11" s="21" t="s">
        <v>24</v>
      </c>
      <c r="J11" s="22">
        <v>0.625</v>
      </c>
      <c r="K11" s="22">
        <v>0.80138888888888893</v>
      </c>
      <c r="L11" s="23">
        <f t="shared" si="11"/>
        <v>0.17638888888888893</v>
      </c>
      <c r="M11" s="24">
        <f t="shared" si="12"/>
        <v>4</v>
      </c>
      <c r="N11" s="24">
        <f t="shared" si="13"/>
        <v>14</v>
      </c>
      <c r="O11" s="24">
        <f t="shared" si="14"/>
        <v>254</v>
      </c>
      <c r="P11" s="25">
        <v>25</v>
      </c>
      <c r="Q11" s="26">
        <f t="shared" si="15"/>
        <v>105.83333333333334</v>
      </c>
    </row>
    <row r="12" spans="2:17" x14ac:dyDescent="0.3">
      <c r="B12" s="19">
        <v>45239</v>
      </c>
      <c r="C12" s="20" t="str">
        <f t="shared" si="8"/>
        <v>2023</v>
      </c>
      <c r="D12" s="20" t="str">
        <f t="shared" si="9"/>
        <v>November</v>
      </c>
      <c r="E12" s="20" t="str">
        <f t="shared" si="10"/>
        <v>Thursday</v>
      </c>
      <c r="F12" s="21" t="s">
        <v>28</v>
      </c>
      <c r="G12" s="21" t="s">
        <v>32</v>
      </c>
      <c r="H12" s="21" t="s">
        <v>33</v>
      </c>
      <c r="I12" s="21" t="s">
        <v>24</v>
      </c>
      <c r="J12" s="22">
        <v>0.40625</v>
      </c>
      <c r="K12" s="22">
        <v>0.48680555555555555</v>
      </c>
      <c r="L12" s="23">
        <f t="shared" si="11"/>
        <v>8.0555555555555547E-2</v>
      </c>
      <c r="M12" s="24">
        <f t="shared" si="12"/>
        <v>1</v>
      </c>
      <c r="N12" s="24">
        <f t="shared" si="13"/>
        <v>56</v>
      </c>
      <c r="O12" s="24">
        <f t="shared" si="14"/>
        <v>116</v>
      </c>
      <c r="P12" s="25">
        <v>25</v>
      </c>
      <c r="Q12" s="26">
        <f t="shared" si="15"/>
        <v>48.333333333333336</v>
      </c>
    </row>
    <row r="13" spans="2:17" x14ac:dyDescent="0.3">
      <c r="B13" s="19">
        <v>45239</v>
      </c>
      <c r="C13" s="20" t="str">
        <f t="shared" si="8"/>
        <v>2023</v>
      </c>
      <c r="D13" s="20" t="str">
        <f t="shared" si="9"/>
        <v>November</v>
      </c>
      <c r="E13" s="20" t="str">
        <f t="shared" si="10"/>
        <v>Thursday</v>
      </c>
      <c r="F13" s="21" t="s">
        <v>28</v>
      </c>
      <c r="G13" s="21" t="s">
        <v>32</v>
      </c>
      <c r="H13" s="21" t="s">
        <v>33</v>
      </c>
      <c r="I13" s="21" t="s">
        <v>24</v>
      </c>
      <c r="J13" s="22">
        <v>0.52083333333333337</v>
      </c>
      <c r="K13" s="22">
        <v>0.67013888888888884</v>
      </c>
      <c r="L13" s="23">
        <f t="shared" si="11"/>
        <v>0.14930555555555547</v>
      </c>
      <c r="M13" s="24">
        <f t="shared" si="12"/>
        <v>3</v>
      </c>
      <c r="N13" s="24">
        <f t="shared" si="13"/>
        <v>35</v>
      </c>
      <c r="O13" s="24">
        <f t="shared" si="14"/>
        <v>215</v>
      </c>
      <c r="P13" s="25">
        <v>25</v>
      </c>
      <c r="Q13" s="26">
        <f t="shared" si="15"/>
        <v>89.583333333333343</v>
      </c>
    </row>
    <row r="14" spans="2:17" x14ac:dyDescent="0.3">
      <c r="B14" s="19">
        <v>45247</v>
      </c>
      <c r="C14" s="20" t="str">
        <f t="shared" si="8"/>
        <v>2023</v>
      </c>
      <c r="D14" s="20" t="str">
        <f t="shared" si="9"/>
        <v>November</v>
      </c>
      <c r="E14" s="20" t="str">
        <f t="shared" si="10"/>
        <v>Friday</v>
      </c>
      <c r="F14" s="21" t="s">
        <v>29</v>
      </c>
      <c r="G14" s="21" t="s">
        <v>32</v>
      </c>
      <c r="H14" s="21" t="s">
        <v>33</v>
      </c>
      <c r="I14" s="21" t="s">
        <v>25</v>
      </c>
      <c r="J14" s="22">
        <v>0.59375</v>
      </c>
      <c r="K14" s="22">
        <v>0.67361111111111116</v>
      </c>
      <c r="L14" s="23">
        <f t="shared" si="11"/>
        <v>7.986111111111116E-2</v>
      </c>
      <c r="M14" s="24">
        <f t="shared" si="12"/>
        <v>1</v>
      </c>
      <c r="N14" s="24">
        <f t="shared" si="13"/>
        <v>55</v>
      </c>
      <c r="O14" s="24">
        <f t="shared" si="14"/>
        <v>115</v>
      </c>
      <c r="P14" s="25">
        <v>25</v>
      </c>
      <c r="Q14" s="26">
        <f t="shared" si="15"/>
        <v>47.916666666666671</v>
      </c>
    </row>
    <row r="15" spans="2:17" x14ac:dyDescent="0.3">
      <c r="B15" s="19">
        <v>45247</v>
      </c>
      <c r="C15" s="20" t="str">
        <f t="shared" si="8"/>
        <v>2023</v>
      </c>
      <c r="D15" s="20" t="str">
        <f t="shared" si="9"/>
        <v>November</v>
      </c>
      <c r="E15" s="20" t="str">
        <f t="shared" si="10"/>
        <v>Friday</v>
      </c>
      <c r="F15" s="21" t="s">
        <v>29</v>
      </c>
      <c r="G15" s="21" t="s">
        <v>32</v>
      </c>
      <c r="H15" s="21" t="s">
        <v>33</v>
      </c>
      <c r="I15" s="21" t="s">
        <v>25</v>
      </c>
      <c r="J15" s="22">
        <v>0.70833333333333337</v>
      </c>
      <c r="K15" s="22">
        <v>0.7944444444444444</v>
      </c>
      <c r="L15" s="23">
        <f t="shared" si="11"/>
        <v>8.6111111111111027E-2</v>
      </c>
      <c r="M15" s="24">
        <f t="shared" si="12"/>
        <v>2</v>
      </c>
      <c r="N15" s="24">
        <f t="shared" si="13"/>
        <v>4</v>
      </c>
      <c r="O15" s="24">
        <f t="shared" si="14"/>
        <v>124</v>
      </c>
      <c r="P15" s="25">
        <v>25</v>
      </c>
      <c r="Q15" s="26">
        <f t="shared" si="15"/>
        <v>51.666666666666671</v>
      </c>
    </row>
    <row r="16" spans="2:17" x14ac:dyDescent="0.3">
      <c r="B16" s="19">
        <v>45270</v>
      </c>
      <c r="C16" s="20" t="str">
        <f t="shared" si="8"/>
        <v>2023</v>
      </c>
      <c r="D16" s="20" t="str">
        <f t="shared" si="9"/>
        <v>December</v>
      </c>
      <c r="E16" s="20" t="str">
        <f t="shared" si="10"/>
        <v>Sunday</v>
      </c>
      <c r="F16" s="21" t="s">
        <v>30</v>
      </c>
      <c r="G16" s="21" t="s">
        <v>21</v>
      </c>
      <c r="H16" s="21" t="s">
        <v>22</v>
      </c>
      <c r="I16" s="21" t="s">
        <v>24</v>
      </c>
      <c r="J16" s="22">
        <v>0.41666666666666669</v>
      </c>
      <c r="K16" s="22">
        <v>0.5625</v>
      </c>
      <c r="L16" s="23">
        <f t="shared" si="11"/>
        <v>0.14583333333333331</v>
      </c>
      <c r="M16" s="24">
        <f t="shared" si="12"/>
        <v>3</v>
      </c>
      <c r="N16" s="24">
        <f t="shared" si="13"/>
        <v>30</v>
      </c>
      <c r="O16" s="24">
        <f t="shared" si="14"/>
        <v>210</v>
      </c>
      <c r="P16" s="25">
        <v>45</v>
      </c>
      <c r="Q16" s="26">
        <f t="shared" si="15"/>
        <v>157.5</v>
      </c>
    </row>
    <row r="17" spans="2:17" x14ac:dyDescent="0.3">
      <c r="B17" s="19">
        <v>45270</v>
      </c>
      <c r="C17" s="20" t="str">
        <f t="shared" si="8"/>
        <v>2023</v>
      </c>
      <c r="D17" s="20" t="str">
        <f t="shared" si="9"/>
        <v>December</v>
      </c>
      <c r="E17" s="20" t="str">
        <f t="shared" si="10"/>
        <v>Sunday</v>
      </c>
      <c r="F17" s="21" t="s">
        <v>30</v>
      </c>
      <c r="G17" s="21" t="s">
        <v>21</v>
      </c>
      <c r="H17" s="21" t="s">
        <v>22</v>
      </c>
      <c r="I17" s="21" t="s">
        <v>24</v>
      </c>
      <c r="J17" s="22">
        <v>0.625</v>
      </c>
      <c r="K17" s="22">
        <v>0.77083333333333337</v>
      </c>
      <c r="L17" s="23">
        <f t="shared" si="11"/>
        <v>0.14583333333333337</v>
      </c>
      <c r="M17" s="24">
        <f t="shared" si="12"/>
        <v>3</v>
      </c>
      <c r="N17" s="24">
        <f t="shared" si="13"/>
        <v>30</v>
      </c>
      <c r="O17" s="24">
        <f t="shared" si="14"/>
        <v>210</v>
      </c>
      <c r="P17" s="25">
        <v>45</v>
      </c>
      <c r="Q17" s="26">
        <f t="shared" si="15"/>
        <v>157.5</v>
      </c>
    </row>
    <row r="18" spans="2:17" x14ac:dyDescent="0.3">
      <c r="B18" s="19">
        <v>45272</v>
      </c>
      <c r="C18" s="20" t="str">
        <f t="shared" si="8"/>
        <v>2023</v>
      </c>
      <c r="D18" s="20" t="str">
        <f t="shared" si="9"/>
        <v>December</v>
      </c>
      <c r="E18" s="20" t="str">
        <f t="shared" si="10"/>
        <v>Thuesday</v>
      </c>
      <c r="F18" s="21" t="s">
        <v>19</v>
      </c>
      <c r="G18" s="21" t="s">
        <v>32</v>
      </c>
      <c r="H18" s="21" t="s">
        <v>33</v>
      </c>
      <c r="I18" s="21" t="s">
        <v>23</v>
      </c>
      <c r="J18" s="22">
        <v>0.375</v>
      </c>
      <c r="K18" s="22">
        <v>0.50763888888888886</v>
      </c>
      <c r="L18" s="23">
        <f t="shared" si="11"/>
        <v>0.13263888888888886</v>
      </c>
      <c r="M18" s="24">
        <f t="shared" si="12"/>
        <v>3</v>
      </c>
      <c r="N18" s="24">
        <f t="shared" si="13"/>
        <v>11</v>
      </c>
      <c r="O18" s="24">
        <f t="shared" si="14"/>
        <v>191</v>
      </c>
      <c r="P18" s="25">
        <v>30</v>
      </c>
      <c r="Q18" s="26">
        <f t="shared" si="15"/>
        <v>95.5</v>
      </c>
    </row>
    <row r="19" spans="2:17" x14ac:dyDescent="0.3">
      <c r="B19" s="19">
        <v>45272</v>
      </c>
      <c r="C19" s="20" t="str">
        <f t="shared" si="8"/>
        <v>2023</v>
      </c>
      <c r="D19" s="20" t="str">
        <f t="shared" si="9"/>
        <v>December</v>
      </c>
      <c r="E19" s="20" t="str">
        <f t="shared" si="10"/>
        <v>Thuesday</v>
      </c>
      <c r="F19" s="21" t="s">
        <v>19</v>
      </c>
      <c r="G19" s="21" t="s">
        <v>32</v>
      </c>
      <c r="H19" s="21" t="s">
        <v>33</v>
      </c>
      <c r="I19" s="21" t="s">
        <v>23</v>
      </c>
      <c r="J19" s="22">
        <v>0.60416666666666663</v>
      </c>
      <c r="K19" s="22">
        <v>0.72430555555555554</v>
      </c>
      <c r="L19" s="23">
        <f t="shared" si="11"/>
        <v>0.12013888888888891</v>
      </c>
      <c r="M19" s="24">
        <f t="shared" si="12"/>
        <v>2</v>
      </c>
      <c r="N19" s="24">
        <f t="shared" si="13"/>
        <v>53</v>
      </c>
      <c r="O19" s="24">
        <f t="shared" si="14"/>
        <v>173</v>
      </c>
      <c r="P19" s="25">
        <v>30</v>
      </c>
      <c r="Q19" s="26">
        <f t="shared" si="15"/>
        <v>86.5</v>
      </c>
    </row>
    <row r="20" spans="2:17" x14ac:dyDescent="0.3">
      <c r="B20" s="19">
        <v>45275</v>
      </c>
      <c r="C20" s="20" t="str">
        <f t="shared" si="8"/>
        <v>2023</v>
      </c>
      <c r="D20" s="20" t="str">
        <f t="shared" si="9"/>
        <v>December</v>
      </c>
      <c r="E20" s="20" t="str">
        <f t="shared" si="10"/>
        <v>Friday</v>
      </c>
      <c r="F20" s="21" t="s">
        <v>31</v>
      </c>
      <c r="G20" s="21" t="s">
        <v>20</v>
      </c>
      <c r="H20" s="21" t="s">
        <v>33</v>
      </c>
      <c r="I20" s="21" t="s">
        <v>23</v>
      </c>
      <c r="J20" s="22">
        <v>0.3611111111111111</v>
      </c>
      <c r="K20" s="22">
        <v>0.46319444444444446</v>
      </c>
      <c r="L20" s="23">
        <f t="shared" si="11"/>
        <v>0.10208333333333336</v>
      </c>
      <c r="M20" s="24">
        <f t="shared" si="12"/>
        <v>2</v>
      </c>
      <c r="N20" s="24">
        <f t="shared" si="13"/>
        <v>27</v>
      </c>
      <c r="O20" s="24">
        <f t="shared" si="14"/>
        <v>147</v>
      </c>
      <c r="P20" s="25">
        <v>30</v>
      </c>
      <c r="Q20" s="26">
        <f t="shared" si="15"/>
        <v>73.5</v>
      </c>
    </row>
    <row r="21" spans="2:17" x14ac:dyDescent="0.3">
      <c r="B21" s="19">
        <v>45275</v>
      </c>
      <c r="C21" s="20" t="str">
        <f t="shared" si="8"/>
        <v>2023</v>
      </c>
      <c r="D21" s="20" t="str">
        <f t="shared" si="9"/>
        <v>December</v>
      </c>
      <c r="E21" s="20" t="str">
        <f t="shared" si="10"/>
        <v>Friday</v>
      </c>
      <c r="F21" s="21" t="s">
        <v>31</v>
      </c>
      <c r="G21" s="21" t="s">
        <v>20</v>
      </c>
      <c r="H21" s="21" t="s">
        <v>33</v>
      </c>
      <c r="I21" s="21" t="s">
        <v>23</v>
      </c>
      <c r="J21" s="22">
        <v>0.5</v>
      </c>
      <c r="K21" s="22">
        <v>0.59583333333333333</v>
      </c>
      <c r="L21" s="23">
        <f t="shared" si="11"/>
        <v>9.5833333333333326E-2</v>
      </c>
      <c r="M21" s="24">
        <f t="shared" si="12"/>
        <v>2</v>
      </c>
      <c r="N21" s="24">
        <f t="shared" si="13"/>
        <v>18</v>
      </c>
      <c r="O21" s="24">
        <f t="shared" si="14"/>
        <v>138</v>
      </c>
      <c r="P21" s="25">
        <v>30</v>
      </c>
      <c r="Q21" s="26">
        <f t="shared" si="15"/>
        <v>69</v>
      </c>
    </row>
    <row r="22" spans="2:17" x14ac:dyDescent="0.3">
      <c r="B22" s="19"/>
      <c r="C22" s="20" t="str">
        <f t="shared" ref="C22:C24" si="16">TEXT(B22,"yyyy")</f>
        <v>1900</v>
      </c>
      <c r="D22" s="20" t="str">
        <f t="shared" ref="D22:D24" si="17">IF(MONTH(B22)=1,"January",IF(MONTH(B22)=2,"February",IF(MONTH(B22)=3,"March",IF(MONTH(B22)=4,"April",IF(MONTH(B22)=5,"May",IF(MONTH(B22)=6,"June",IF(MONTH(B22)=7,"July",IF(MONTH(B22)=8,"August",IF(MONTH(B22)=9,"September",IF(MONTH(B22)=10,"October",IF(MONTH(B22)=11,"November",IF(MONTH(B22)=12,"December"))))))))))))</f>
        <v>January</v>
      </c>
      <c r="E22" s="20" t="str">
        <f t="shared" ref="E22:E24" si="18">IF(WEEKDAY(B22,2)=1,"Monday",IF(WEEKDAY(B22,2)=2,"Thuesday",IF(WEEKDAY(B22,2)=3,"Wednesday",IF(WEEKDAY(B22,2)=4,"Thursday",IF(WEEKDAY(B22,2)=5,"Friday",IF(WEEKDAY(B22,2)=6,"Saturday",IF(WEEKDAY(B22,2)=7,"Sunday")))))))</f>
        <v>Saturday</v>
      </c>
      <c r="F22" s="21"/>
      <c r="G22" s="21"/>
      <c r="H22" s="21"/>
      <c r="I22" s="21"/>
      <c r="J22" s="22"/>
      <c r="K22" s="22"/>
      <c r="L22" s="23">
        <f t="shared" ref="L22:L24" si="19">K22-J22</f>
        <v>0</v>
      </c>
      <c r="M22" s="24">
        <f t="shared" ref="M22:M24" si="20">HOUR(L22)</f>
        <v>0</v>
      </c>
      <c r="N22" s="24">
        <f t="shared" ref="N22:N24" si="21">MINUTE(L22)</f>
        <v>0</v>
      </c>
      <c r="O22" s="24">
        <f t="shared" ref="O22:O24" si="22">M22*60+N22</f>
        <v>0</v>
      </c>
      <c r="P22" s="25"/>
      <c r="Q22" s="26">
        <f t="shared" ref="Q22:Q24" si="23">(P22/60)*O22</f>
        <v>0</v>
      </c>
    </row>
    <row r="23" spans="2:17" x14ac:dyDescent="0.3">
      <c r="B23" s="19"/>
      <c r="C23" s="20" t="str">
        <f t="shared" si="16"/>
        <v>1900</v>
      </c>
      <c r="D23" s="20" t="str">
        <f t="shared" si="17"/>
        <v>January</v>
      </c>
      <c r="E23" s="20" t="str">
        <f t="shared" si="18"/>
        <v>Saturday</v>
      </c>
      <c r="F23" s="21"/>
      <c r="G23" s="21"/>
      <c r="H23" s="21"/>
      <c r="I23" s="21"/>
      <c r="J23" s="22"/>
      <c r="K23" s="22"/>
      <c r="L23" s="23">
        <f t="shared" si="19"/>
        <v>0</v>
      </c>
      <c r="M23" s="24">
        <f t="shared" si="20"/>
        <v>0</v>
      </c>
      <c r="N23" s="24">
        <f t="shared" si="21"/>
        <v>0</v>
      </c>
      <c r="O23" s="24">
        <f t="shared" si="22"/>
        <v>0</v>
      </c>
      <c r="P23" s="25"/>
      <c r="Q23" s="26">
        <f t="shared" si="23"/>
        <v>0</v>
      </c>
    </row>
    <row r="24" spans="2:17" x14ac:dyDescent="0.3">
      <c r="B24" s="19"/>
      <c r="C24" s="20" t="str">
        <f t="shared" si="16"/>
        <v>1900</v>
      </c>
      <c r="D24" s="20" t="str">
        <f t="shared" si="17"/>
        <v>January</v>
      </c>
      <c r="E24" s="20" t="str">
        <f t="shared" si="18"/>
        <v>Saturday</v>
      </c>
      <c r="F24" s="21"/>
      <c r="G24" s="21"/>
      <c r="H24" s="21"/>
      <c r="I24" s="21"/>
      <c r="J24" s="22"/>
      <c r="K24" s="22"/>
      <c r="L24" s="23">
        <f t="shared" si="19"/>
        <v>0</v>
      </c>
      <c r="M24" s="24">
        <f t="shared" si="20"/>
        <v>0</v>
      </c>
      <c r="N24" s="24">
        <f t="shared" si="21"/>
        <v>0</v>
      </c>
      <c r="O24" s="24">
        <f t="shared" si="22"/>
        <v>0</v>
      </c>
      <c r="P24" s="25"/>
      <c r="Q24" s="26">
        <f t="shared" si="23"/>
        <v>0</v>
      </c>
    </row>
    <row r="25" spans="2:17" s="27" customFormat="1" x14ac:dyDescent="0.3">
      <c r="B25" s="28" t="s">
        <v>15</v>
      </c>
      <c r="C25" s="28"/>
      <c r="D25" s="28"/>
      <c r="E25" s="28"/>
      <c r="F25" s="28"/>
      <c r="G25" s="28"/>
      <c r="H25" s="28"/>
      <c r="I25" s="28"/>
      <c r="J25" s="29"/>
      <c r="K25" s="29"/>
      <c r="L25" s="30"/>
      <c r="M25" s="31">
        <f>SUM(M5:M24)</f>
        <v>39</v>
      </c>
      <c r="N25" s="31">
        <f>SUM(N5:N24)</f>
        <v>515</v>
      </c>
      <c r="O25" s="31">
        <f>SUM(O5:O24)</f>
        <v>2855</v>
      </c>
      <c r="P25" s="32"/>
      <c r="Q25" s="33">
        <f>SUM(Q5:Q24)</f>
        <v>1514</v>
      </c>
    </row>
    <row r="26" spans="2:17" ht="4.8" customHeight="1" x14ac:dyDescent="0.3"/>
    <row r="27" spans="2:17" x14ac:dyDescent="0.3">
      <c r="B27" s="34" t="s">
        <v>16</v>
      </c>
      <c r="C27" s="35"/>
      <c r="D27" s="35"/>
      <c r="E27" s="35"/>
      <c r="F27" s="35"/>
      <c r="G27" s="35"/>
      <c r="H27" s="35"/>
      <c r="I27" s="35"/>
      <c r="J27" s="36"/>
      <c r="K27" s="36"/>
      <c r="L27" s="36"/>
      <c r="M27" s="37">
        <f>SUM(M5:M24)</f>
        <v>39</v>
      </c>
      <c r="N27" s="37">
        <f>SUM(N5:N24)</f>
        <v>515</v>
      </c>
      <c r="O27" s="37"/>
      <c r="P27" s="38"/>
      <c r="Q27" s="39">
        <f>SUM(Q5:Q24)</f>
        <v>1514</v>
      </c>
    </row>
    <row r="29" spans="2:17" ht="27" x14ac:dyDescent="0.3">
      <c r="B29" s="45" t="s">
        <v>17</v>
      </c>
    </row>
    <row r="30" spans="2:17" ht="4.8" customHeight="1" x14ac:dyDescent="0.3"/>
    <row r="31" spans="2:17" x14ac:dyDescent="0.3">
      <c r="B31" s="68" t="s">
        <v>8</v>
      </c>
      <c r="C31" s="69"/>
      <c r="D31" s="40">
        <f>ROUNDDOWN((M27*60+N27)/60,0)</f>
        <v>47</v>
      </c>
      <c r="E31" s="5"/>
      <c r="J31" s="9"/>
      <c r="K31" s="41"/>
      <c r="L31" s="41"/>
      <c r="M31" s="10"/>
      <c r="N31" s="10"/>
      <c r="O31" s="5"/>
      <c r="P31" s="42"/>
      <c r="Q31" s="43"/>
    </row>
    <row r="32" spans="2:17" x14ac:dyDescent="0.3">
      <c r="B32" s="68" t="s">
        <v>9</v>
      </c>
      <c r="C32" s="69"/>
      <c r="D32" s="40">
        <f>(M27*60+N27)-D31*60</f>
        <v>35</v>
      </c>
      <c r="H32" s="9"/>
      <c r="I32" s="41"/>
      <c r="J32" s="41"/>
      <c r="K32" s="10"/>
      <c r="L32" s="10"/>
      <c r="M32" s="5"/>
      <c r="N32" s="42"/>
      <c r="O32" s="43"/>
      <c r="P32" s="5"/>
      <c r="Q32" s="5"/>
    </row>
    <row r="33" spans="2:17" x14ac:dyDescent="0.3">
      <c r="B33" s="70" t="s">
        <v>12</v>
      </c>
      <c r="C33" s="71"/>
      <c r="D33" s="44">
        <f>Q27</f>
        <v>1514</v>
      </c>
      <c r="H33" s="9"/>
      <c r="I33" s="41"/>
      <c r="J33" s="41"/>
      <c r="K33" s="10"/>
      <c r="L33" s="10"/>
      <c r="M33" s="5"/>
      <c r="N33" s="42"/>
      <c r="O33" s="43"/>
      <c r="P33" s="5"/>
      <c r="Q33" s="5"/>
    </row>
    <row r="34" spans="2:17" x14ac:dyDescent="0.3">
      <c r="B34" s="70" t="s">
        <v>35</v>
      </c>
      <c r="C34" s="71"/>
      <c r="D34" s="44">
        <f>D33/(M27*60+N27)*60</f>
        <v>31.817863397548162</v>
      </c>
      <c r="H34" s="9"/>
      <c r="I34" s="9"/>
      <c r="J34" s="9"/>
      <c r="K34" s="10"/>
      <c r="L34" s="10"/>
      <c r="M34" s="5"/>
      <c r="N34" s="42"/>
      <c r="O34" s="43"/>
      <c r="P34" s="5"/>
      <c r="Q34" s="5"/>
    </row>
    <row r="35" spans="2:17" x14ac:dyDescent="0.3">
      <c r="H35" s="9"/>
      <c r="I35" s="9"/>
      <c r="J35" s="9"/>
      <c r="K35" s="10"/>
      <c r="L35" s="10"/>
      <c r="M35" s="5"/>
      <c r="N35" s="42"/>
      <c r="O35" s="43"/>
      <c r="P35" s="5"/>
      <c r="Q35" s="5"/>
    </row>
    <row r="38" spans="2:17" x14ac:dyDescent="0.3">
      <c r="B38" s="6" t="s">
        <v>44</v>
      </c>
    </row>
  </sheetData>
  <autoFilter ref="B4:Q25" xr:uid="{E42D1E6E-E4B5-4B4C-8E4C-A8D536857705}"/>
  <mergeCells count="4">
    <mergeCell ref="B31:C31"/>
    <mergeCell ref="B32:C32"/>
    <mergeCell ref="B33:C33"/>
    <mergeCell ref="B34:C34"/>
  </mergeCells>
  <conditionalFormatting sqref="E1:E30 D31:D34 E36:E1048576">
    <cfRule type="cellIs" dxfId="9" priority="1" operator="equal">
      <formula>"Sunday"</formula>
    </cfRule>
    <cfRule type="cellIs" dxfId="8" priority="2" operator="equal">
      <formula>"Saturday"</formula>
    </cfRule>
  </conditionalFormatting>
  <pageMargins left="0.23622047244094491" right="0.23622047244094491" top="0.74803149606299213" bottom="0.74803149606299213" header="0.31496062992125984" footer="0.31496062992125984"/>
  <pageSetup paperSize="9" scale="47" fitToHeight="0" orientation="landscape" r:id="rId1"/>
  <headerFooter>
    <oddFooter>&amp;L© Naša mreža &amp; Igor Lazarević 2023, igor.lazarevic.77@gmail.com&amp;R&amp;P od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5997C-BA33-46E8-BDC4-C31F6FD159C9}">
  <sheetPr>
    <tabColor theme="8" tint="0.39997558519241921"/>
    <pageSetUpPr fitToPage="1"/>
  </sheetPr>
  <dimension ref="B2:Q9"/>
  <sheetViews>
    <sheetView showGridLines="0" zoomScale="85" zoomScaleNormal="85" workbookViewId="0">
      <selection activeCell="F4" sqref="F4"/>
    </sheetView>
  </sheetViews>
  <sheetFormatPr defaultRowHeight="14.4" x14ac:dyDescent="0.3"/>
  <cols>
    <col min="1" max="1" width="3.5546875" style="2" customWidth="1"/>
    <col min="2" max="2" width="14.77734375" style="2" bestFit="1" customWidth="1"/>
    <col min="3" max="3" width="20.21875" style="4" bestFit="1" customWidth="1"/>
    <col min="4" max="4" width="16.21875" style="4" bestFit="1" customWidth="1"/>
    <col min="5" max="5" width="8.88671875" style="2"/>
    <col min="6" max="6" width="14.88671875" style="2" customWidth="1"/>
    <col min="7" max="8" width="16.88671875" style="4" customWidth="1"/>
    <col min="9" max="16384" width="8.88671875" style="2"/>
  </cols>
  <sheetData>
    <row r="2" spans="2:17" ht="27" x14ac:dyDescent="0.3">
      <c r="B2" s="46" t="s">
        <v>43</v>
      </c>
      <c r="F2" s="46" t="s">
        <v>43</v>
      </c>
    </row>
    <row r="3" spans="2:17" s="5" customFormat="1" ht="4.8" customHeight="1" x14ac:dyDescent="0.3">
      <c r="B3" s="47"/>
      <c r="C3" s="9"/>
      <c r="D3" s="9"/>
      <c r="G3" s="9"/>
      <c r="H3" s="9"/>
      <c r="J3" s="7"/>
      <c r="K3" s="7"/>
      <c r="L3" s="8"/>
      <c r="M3" s="9"/>
      <c r="N3" s="9"/>
      <c r="O3" s="9"/>
      <c r="P3" s="10"/>
      <c r="Q3" s="11"/>
    </row>
    <row r="4" spans="2:17" x14ac:dyDescent="0.3">
      <c r="B4" s="49" t="s">
        <v>36</v>
      </c>
      <c r="C4" s="4" t="s">
        <v>39</v>
      </c>
      <c r="D4" s="4" t="s">
        <v>38</v>
      </c>
      <c r="F4" s="51" t="s">
        <v>2</v>
      </c>
      <c r="G4" s="52" t="s">
        <v>10</v>
      </c>
      <c r="H4" s="52" t="s">
        <v>45</v>
      </c>
    </row>
    <row r="5" spans="2:17" x14ac:dyDescent="0.3">
      <c r="B5" s="1" t="s">
        <v>40</v>
      </c>
      <c r="C5" s="4">
        <v>808</v>
      </c>
      <c r="D5" s="4">
        <v>467</v>
      </c>
      <c r="F5" s="50" t="str">
        <f>B5</f>
        <v>October</v>
      </c>
      <c r="G5" s="55">
        <f>GETPIVOTDATA("Sum of Total minutes",$B$4,"Month","October")</f>
        <v>808</v>
      </c>
      <c r="H5" s="53">
        <f>GETPIVOTDATA("Sum of Fee, total",$B$4,"Month","October")</f>
        <v>467</v>
      </c>
    </row>
    <row r="6" spans="2:17" x14ac:dyDescent="0.3">
      <c r="B6" s="1" t="s">
        <v>41</v>
      </c>
      <c r="C6" s="4">
        <v>978</v>
      </c>
      <c r="D6" s="4">
        <v>407.50000000000006</v>
      </c>
      <c r="F6" s="50" t="str">
        <f t="shared" ref="F6:F7" si="0">B6</f>
        <v>November</v>
      </c>
      <c r="G6" s="55">
        <f>GETPIVOTDATA("Sum of Total minutes",$B$4,"Month","November")</f>
        <v>978</v>
      </c>
      <c r="H6" s="53">
        <f>GETPIVOTDATA("Sum of Fee, total",$B$4,"Month","November")</f>
        <v>407.50000000000006</v>
      </c>
    </row>
    <row r="7" spans="2:17" x14ac:dyDescent="0.3">
      <c r="B7" s="1" t="s">
        <v>42</v>
      </c>
      <c r="C7" s="4">
        <v>1069</v>
      </c>
      <c r="D7" s="4">
        <v>639.5</v>
      </c>
      <c r="F7" s="50" t="str">
        <f t="shared" si="0"/>
        <v>December</v>
      </c>
      <c r="G7" s="55">
        <f>GETPIVOTDATA("Sum of Total minutes",$B$4,"Month","December")</f>
        <v>1069</v>
      </c>
      <c r="H7" s="53">
        <f>GETPIVOTDATA("Sum of Fee, total",$B$4,"Month","December")</f>
        <v>639.5</v>
      </c>
    </row>
    <row r="8" spans="2:17" x14ac:dyDescent="0.3">
      <c r="B8" s="1" t="s">
        <v>37</v>
      </c>
      <c r="C8" s="4">
        <v>2855</v>
      </c>
      <c r="D8" s="4">
        <v>1514</v>
      </c>
      <c r="F8" s="51" t="s">
        <v>44</v>
      </c>
      <c r="G8" s="56">
        <f>SUM(G5:G7)</f>
        <v>2855</v>
      </c>
      <c r="H8" s="54">
        <f>SUM(H5:H7)</f>
        <v>1514</v>
      </c>
    </row>
    <row r="9" spans="2:17" x14ac:dyDescent="0.3">
      <c r="F9" s="1"/>
    </row>
  </sheetData>
  <conditionalFormatting sqref="E3">
    <cfRule type="cellIs" dxfId="7" priority="1" operator="equal">
      <formula>"Sunday"</formula>
    </cfRule>
    <cfRule type="cellIs" dxfId="6" priority="2" operator="equal">
      <formula>"Saturday"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portrait" r:id="rId2"/>
  <headerFooter>
    <oddFooter>&amp;L© Naša mreža &amp; Igor Lazarević 2023, igor.lazarevic.77@gmail.com&amp;R&amp;P od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85796-6CED-4594-8F21-C1BE7F697038}">
  <sheetPr>
    <tabColor theme="8" tint="0.39997558519241921"/>
    <pageSetUpPr fitToPage="1"/>
  </sheetPr>
  <dimension ref="B2:Q14"/>
  <sheetViews>
    <sheetView showGridLines="0" zoomScale="85" zoomScaleNormal="85" workbookViewId="0">
      <selection activeCell="F4" sqref="F4"/>
    </sheetView>
  </sheetViews>
  <sheetFormatPr defaultRowHeight="14.4" x14ac:dyDescent="0.3"/>
  <cols>
    <col min="1" max="1" width="3.5546875" style="2" customWidth="1"/>
    <col min="2" max="2" width="13.44140625" style="2" bestFit="1" customWidth="1"/>
    <col min="3" max="3" width="20.21875" style="4" bestFit="1" customWidth="1"/>
    <col min="4" max="4" width="16.21875" style="4" bestFit="1" customWidth="1"/>
    <col min="5" max="5" width="8.88671875" style="2"/>
    <col min="6" max="6" width="14.88671875" style="2" customWidth="1"/>
    <col min="7" max="8" width="16.88671875" style="4" customWidth="1"/>
    <col min="9" max="16384" width="8.88671875" style="2"/>
  </cols>
  <sheetData>
    <row r="2" spans="2:17" ht="27" x14ac:dyDescent="0.3">
      <c r="B2" s="46" t="s">
        <v>46</v>
      </c>
      <c r="F2" s="46" t="s">
        <v>46</v>
      </c>
    </row>
    <row r="3" spans="2:17" s="5" customFormat="1" ht="4.8" customHeight="1" x14ac:dyDescent="0.3">
      <c r="B3" s="47"/>
      <c r="C3" s="9"/>
      <c r="D3" s="9"/>
      <c r="G3" s="9"/>
      <c r="H3" s="9"/>
      <c r="J3" s="7"/>
      <c r="K3" s="7"/>
      <c r="L3" s="8"/>
      <c r="M3" s="9"/>
      <c r="N3" s="9"/>
      <c r="O3" s="9"/>
      <c r="P3" s="10"/>
      <c r="Q3" s="11"/>
    </row>
    <row r="4" spans="2:17" x14ac:dyDescent="0.3">
      <c r="B4" s="48" t="s">
        <v>36</v>
      </c>
      <c r="C4" s="4" t="s">
        <v>39</v>
      </c>
      <c r="D4" s="4" t="s">
        <v>38</v>
      </c>
      <c r="F4" s="51" t="s">
        <v>14</v>
      </c>
      <c r="G4" s="52" t="s">
        <v>10</v>
      </c>
      <c r="H4" s="52" t="s">
        <v>45</v>
      </c>
    </row>
    <row r="5" spans="2:17" x14ac:dyDescent="0.3">
      <c r="B5" s="3" t="s">
        <v>32</v>
      </c>
      <c r="C5" s="4">
        <v>1342</v>
      </c>
      <c r="D5" s="4">
        <v>589.5</v>
      </c>
      <c r="F5" s="50" t="str">
        <f>B5</f>
        <v>Debussy</v>
      </c>
      <c r="G5" s="55">
        <f>GETPIVOTDATA("Sum of Total minutes",$B$4,"Project","Debussy")</f>
        <v>1342</v>
      </c>
      <c r="H5" s="53">
        <f>GETPIVOTDATA("Sum of Fee, total",$B$4,"Project","Debussy")</f>
        <v>589.5</v>
      </c>
    </row>
    <row r="6" spans="2:17" x14ac:dyDescent="0.3">
      <c r="B6" s="3" t="s">
        <v>20</v>
      </c>
      <c r="C6" s="4">
        <v>715</v>
      </c>
      <c r="D6" s="4">
        <v>357.5</v>
      </c>
      <c r="F6" s="50" t="str">
        <f t="shared" ref="F6:F7" si="0">B6</f>
        <v>Hercules</v>
      </c>
      <c r="G6" s="55">
        <f>GETPIVOTDATA("Sum of Total minutes",$B$4,"Project","Hercules")</f>
        <v>715</v>
      </c>
      <c r="H6" s="53">
        <f>GETPIVOTDATA("Sum of Fee, total",$B$4,"Project","Hercules")</f>
        <v>357.5</v>
      </c>
    </row>
    <row r="7" spans="2:17" x14ac:dyDescent="0.3">
      <c r="B7" s="3" t="s">
        <v>21</v>
      </c>
      <c r="C7" s="4">
        <v>798</v>
      </c>
      <c r="D7" s="4">
        <v>567</v>
      </c>
      <c r="F7" s="50" t="str">
        <f t="shared" si="0"/>
        <v>Zorro</v>
      </c>
      <c r="G7" s="55">
        <f>GETPIVOTDATA("Sum of Total minutes",$B$4,"Project","Zorro")</f>
        <v>798</v>
      </c>
      <c r="H7" s="53">
        <f>GETPIVOTDATA("Sum of Fee, total",$B$4,"Project","Zorro")</f>
        <v>567</v>
      </c>
    </row>
    <row r="8" spans="2:17" x14ac:dyDescent="0.3">
      <c r="B8" s="1" t="s">
        <v>37</v>
      </c>
      <c r="C8" s="4">
        <v>2855</v>
      </c>
      <c r="D8" s="4">
        <v>1514</v>
      </c>
      <c r="F8" s="51" t="s">
        <v>44</v>
      </c>
      <c r="G8" s="56">
        <f>SUM(G5:G7)</f>
        <v>2855</v>
      </c>
      <c r="H8" s="54">
        <f>SUM(H5:H7)</f>
        <v>1514</v>
      </c>
    </row>
    <row r="9" spans="2:17" x14ac:dyDescent="0.3">
      <c r="B9"/>
      <c r="C9"/>
      <c r="D9"/>
      <c r="F9" s="1"/>
    </row>
    <row r="10" spans="2:17" x14ac:dyDescent="0.3">
      <c r="B10"/>
      <c r="C10"/>
      <c r="D10"/>
    </row>
    <row r="11" spans="2:17" x14ac:dyDescent="0.3">
      <c r="B11"/>
      <c r="C11"/>
      <c r="D11"/>
    </row>
    <row r="12" spans="2:17" x14ac:dyDescent="0.3">
      <c r="B12"/>
      <c r="C12"/>
      <c r="D12"/>
    </row>
    <row r="13" spans="2:17" x14ac:dyDescent="0.3">
      <c r="B13"/>
      <c r="C13"/>
      <c r="D13"/>
    </row>
    <row r="14" spans="2:17" x14ac:dyDescent="0.3">
      <c r="B14"/>
      <c r="C14"/>
      <c r="D14"/>
    </row>
  </sheetData>
  <conditionalFormatting sqref="E3">
    <cfRule type="cellIs" dxfId="5" priority="1" operator="equal">
      <formula>"Sunday"</formula>
    </cfRule>
    <cfRule type="cellIs" dxfId="4" priority="2" operator="equal">
      <formula>"Saturday"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r:id="rId2"/>
  <headerFooter>
    <oddFooter>&amp;L© Naša mreža &amp; Igor Lazarević 2023, igor.lazarevic.77@gmail.com&amp;R&amp;P od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7E639-C6EE-4691-89E9-9AB0770773C3}">
  <sheetPr>
    <tabColor theme="8" tint="0.39997558519241921"/>
    <pageSetUpPr fitToPage="1"/>
  </sheetPr>
  <dimension ref="B2:Q14"/>
  <sheetViews>
    <sheetView showGridLines="0" zoomScale="85" zoomScaleNormal="85" workbookViewId="0">
      <selection activeCell="F4" sqref="F4"/>
    </sheetView>
  </sheetViews>
  <sheetFormatPr defaultRowHeight="14.4" x14ac:dyDescent="0.3"/>
  <cols>
    <col min="1" max="1" width="3.5546875" style="2" customWidth="1"/>
    <col min="2" max="2" width="13.44140625" style="2" bestFit="1" customWidth="1"/>
    <col min="3" max="3" width="20.21875" style="4" bestFit="1" customWidth="1"/>
    <col min="4" max="4" width="16.21875" style="4" bestFit="1" customWidth="1"/>
    <col min="5" max="5" width="8.88671875" style="2"/>
    <col min="6" max="6" width="14.88671875" style="2" customWidth="1"/>
    <col min="7" max="8" width="16.88671875" style="4" customWidth="1"/>
    <col min="9" max="16384" width="8.88671875" style="2"/>
  </cols>
  <sheetData>
    <row r="2" spans="2:17" ht="27" x14ac:dyDescent="0.3">
      <c r="B2" s="46" t="s">
        <v>4</v>
      </c>
      <c r="F2" s="46" t="s">
        <v>4</v>
      </c>
    </row>
    <row r="3" spans="2:17" s="5" customFormat="1" ht="4.8" customHeight="1" x14ac:dyDescent="0.3">
      <c r="B3" s="47"/>
      <c r="C3" s="9"/>
      <c r="D3" s="9"/>
      <c r="G3" s="9"/>
      <c r="H3" s="9"/>
      <c r="J3" s="7"/>
      <c r="K3" s="7"/>
      <c r="L3" s="8"/>
      <c r="M3" s="9"/>
      <c r="N3" s="9"/>
      <c r="O3" s="9"/>
      <c r="P3" s="10"/>
      <c r="Q3" s="11"/>
    </row>
    <row r="4" spans="2:17" x14ac:dyDescent="0.3">
      <c r="B4" s="48" t="s">
        <v>36</v>
      </c>
      <c r="C4" s="4" t="s">
        <v>39</v>
      </c>
      <c r="D4" s="4" t="s">
        <v>38</v>
      </c>
      <c r="F4" s="51" t="s">
        <v>47</v>
      </c>
      <c r="G4" s="52" t="s">
        <v>10</v>
      </c>
      <c r="H4" s="52" t="s">
        <v>45</v>
      </c>
    </row>
    <row r="5" spans="2:17" x14ac:dyDescent="0.3">
      <c r="B5" s="3" t="s">
        <v>22</v>
      </c>
      <c r="C5" s="4">
        <v>798</v>
      </c>
      <c r="D5" s="4">
        <v>567</v>
      </c>
      <c r="F5" s="50" t="str">
        <f>B5</f>
        <v>Client's office</v>
      </c>
      <c r="G5" s="55">
        <f>GETPIVOTDATA("Sum of Total minutes",$B$4,"Place of work","Client's office")</f>
        <v>798</v>
      </c>
      <c r="H5" s="53">
        <f>GETPIVOTDATA("Sum of Fee, total",$B$4,"Place of work","Client's office")</f>
        <v>567</v>
      </c>
    </row>
    <row r="6" spans="2:17" x14ac:dyDescent="0.3">
      <c r="B6" s="3" t="s">
        <v>33</v>
      </c>
      <c r="C6" s="4">
        <v>2057</v>
      </c>
      <c r="D6" s="4">
        <v>946.99999999999989</v>
      </c>
      <c r="F6" s="50" t="str">
        <f t="shared" ref="F6" si="0">B6</f>
        <v>My office</v>
      </c>
      <c r="G6" s="55">
        <f>GETPIVOTDATA("Sum of Total minutes",$B$4,"Place of work","My office")</f>
        <v>2057</v>
      </c>
      <c r="H6" s="53">
        <f>GETPIVOTDATA("Sum of Fee, total",$B$4,"Place of work","My office")</f>
        <v>946.99999999999989</v>
      </c>
    </row>
    <row r="7" spans="2:17" x14ac:dyDescent="0.3">
      <c r="B7" s="1" t="s">
        <v>37</v>
      </c>
      <c r="C7" s="4">
        <v>2855</v>
      </c>
      <c r="D7" s="4">
        <v>1514</v>
      </c>
      <c r="F7" s="51" t="s">
        <v>44</v>
      </c>
      <c r="G7" s="56">
        <f>SUM(G5:G6)</f>
        <v>2855</v>
      </c>
      <c r="H7" s="54">
        <f>SUM(H5:H6)</f>
        <v>1514</v>
      </c>
    </row>
    <row r="8" spans="2:17" x14ac:dyDescent="0.3">
      <c r="B8"/>
      <c r="C8"/>
      <c r="D8"/>
      <c r="F8" s="1"/>
    </row>
    <row r="9" spans="2:17" x14ac:dyDescent="0.3">
      <c r="B9"/>
      <c r="C9"/>
      <c r="D9"/>
    </row>
    <row r="10" spans="2:17" x14ac:dyDescent="0.3">
      <c r="B10"/>
      <c r="C10"/>
      <c r="D10"/>
    </row>
    <row r="11" spans="2:17" x14ac:dyDescent="0.3">
      <c r="B11"/>
      <c r="C11"/>
      <c r="D11"/>
    </row>
    <row r="12" spans="2:17" x14ac:dyDescent="0.3">
      <c r="B12"/>
      <c r="C12"/>
      <c r="D12"/>
    </row>
    <row r="13" spans="2:17" x14ac:dyDescent="0.3">
      <c r="B13"/>
      <c r="C13"/>
      <c r="D13"/>
    </row>
    <row r="14" spans="2:17" x14ac:dyDescent="0.3">
      <c r="B14"/>
      <c r="C14"/>
      <c r="D14"/>
    </row>
  </sheetData>
  <conditionalFormatting sqref="E3">
    <cfRule type="cellIs" dxfId="3" priority="1" operator="equal">
      <formula>"Sunday"</formula>
    </cfRule>
    <cfRule type="cellIs" dxfId="2" priority="2" operator="equal">
      <formula>"Saturday"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portrait" r:id="rId2"/>
  <headerFooter>
    <oddFooter>&amp;L© Naša mreža &amp; Igor Lazarević 2023, igor.lazarevic.77@gmail.com&amp;R&amp;P od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FA6CB-DC3D-47F0-8EEA-7424E118F35C}">
  <sheetPr>
    <tabColor theme="8" tint="0.39997558519241921"/>
    <pageSetUpPr fitToPage="1"/>
  </sheetPr>
  <dimension ref="B2:Q15"/>
  <sheetViews>
    <sheetView showGridLines="0" zoomScale="85" zoomScaleNormal="85" workbookViewId="0">
      <selection activeCell="F4" sqref="F4"/>
    </sheetView>
  </sheetViews>
  <sheetFormatPr defaultRowHeight="14.4" x14ac:dyDescent="0.3"/>
  <cols>
    <col min="1" max="1" width="3.5546875" style="2" customWidth="1"/>
    <col min="2" max="2" width="13.44140625" style="2" bestFit="1" customWidth="1"/>
    <col min="3" max="3" width="20.21875" style="4" bestFit="1" customWidth="1"/>
    <col min="4" max="4" width="16.21875" style="4" bestFit="1" customWidth="1"/>
    <col min="5" max="5" width="8.88671875" style="2"/>
    <col min="6" max="6" width="14.88671875" style="2" customWidth="1"/>
    <col min="7" max="8" width="16.88671875" style="4" customWidth="1"/>
    <col min="9" max="16384" width="8.88671875" style="2"/>
  </cols>
  <sheetData>
    <row r="2" spans="2:17" ht="27" x14ac:dyDescent="0.3">
      <c r="B2" s="46" t="s">
        <v>18</v>
      </c>
      <c r="F2" s="46" t="s">
        <v>18</v>
      </c>
    </row>
    <row r="3" spans="2:17" s="5" customFormat="1" ht="4.8" customHeight="1" x14ac:dyDescent="0.3">
      <c r="B3" s="47"/>
      <c r="C3" s="9"/>
      <c r="D3" s="9"/>
      <c r="G3" s="9"/>
      <c r="H3" s="9"/>
      <c r="J3" s="7"/>
      <c r="K3" s="7"/>
      <c r="L3" s="8"/>
      <c r="M3" s="9"/>
      <c r="N3" s="9"/>
      <c r="O3" s="9"/>
      <c r="P3" s="10"/>
      <c r="Q3" s="11"/>
    </row>
    <row r="4" spans="2:17" x14ac:dyDescent="0.3">
      <c r="B4" s="48" t="s">
        <v>36</v>
      </c>
      <c r="C4" s="4" t="s">
        <v>39</v>
      </c>
      <c r="D4" s="4" t="s">
        <v>38</v>
      </c>
      <c r="F4" s="51" t="s">
        <v>18</v>
      </c>
      <c r="G4" s="52" t="s">
        <v>10</v>
      </c>
      <c r="H4" s="52" t="s">
        <v>45</v>
      </c>
    </row>
    <row r="5" spans="2:17" x14ac:dyDescent="0.3">
      <c r="B5" s="3" t="s">
        <v>24</v>
      </c>
      <c r="C5" s="4">
        <v>1589</v>
      </c>
      <c r="D5" s="4">
        <v>837.91666666666663</v>
      </c>
      <c r="F5" s="50" t="str">
        <f>B5</f>
        <v>High</v>
      </c>
      <c r="G5" s="55">
        <f>GETPIVOTDATA("Sum of Total minutes",$B$4,"Effort level","High")</f>
        <v>1589</v>
      </c>
      <c r="H5" s="53">
        <f>GETPIVOTDATA("Sum of Fee, total",$B$4,"Effort level","High")</f>
        <v>837.91666666666663</v>
      </c>
    </row>
    <row r="6" spans="2:17" x14ac:dyDescent="0.3">
      <c r="B6" s="3" t="s">
        <v>25</v>
      </c>
      <c r="C6" s="4">
        <v>239</v>
      </c>
      <c r="D6" s="4">
        <v>99.583333333333343</v>
      </c>
      <c r="F6" s="50" t="str">
        <f t="shared" ref="F6:F7" si="0">B6</f>
        <v>Low</v>
      </c>
      <c r="G6" s="55">
        <f>GETPIVOTDATA("Sum of Total minutes",$B$4,"Effort level","Low")</f>
        <v>239</v>
      </c>
      <c r="H6" s="53">
        <f>GETPIVOTDATA("Sum of Fee, total",$B$4,"Effort level","Low")</f>
        <v>99.583333333333343</v>
      </c>
    </row>
    <row r="7" spans="2:17" x14ac:dyDescent="0.3">
      <c r="B7" s="3" t="s">
        <v>23</v>
      </c>
      <c r="C7" s="4">
        <v>1027</v>
      </c>
      <c r="D7" s="4">
        <v>576.5</v>
      </c>
      <c r="F7" s="50" t="str">
        <f t="shared" si="0"/>
        <v>Medium</v>
      </c>
      <c r="G7" s="55">
        <f>GETPIVOTDATA("Sum of Total minutes",$B$4,"Effort level","Medium")</f>
        <v>1027</v>
      </c>
      <c r="H7" s="53">
        <f>GETPIVOTDATA("Sum of Fee, total",$B$4,"Effort level","Medium")</f>
        <v>576.5</v>
      </c>
    </row>
    <row r="8" spans="2:17" x14ac:dyDescent="0.3">
      <c r="B8" s="1" t="s">
        <v>37</v>
      </c>
      <c r="C8" s="4">
        <v>2855</v>
      </c>
      <c r="D8" s="4">
        <v>1514</v>
      </c>
      <c r="F8" s="51" t="s">
        <v>44</v>
      </c>
      <c r="G8" s="56">
        <f>SUM(G5:G7)</f>
        <v>2855</v>
      </c>
      <c r="H8" s="54">
        <f>SUM(H5:H7)</f>
        <v>1514</v>
      </c>
    </row>
    <row r="9" spans="2:17" x14ac:dyDescent="0.3">
      <c r="B9"/>
      <c r="C9"/>
      <c r="D9"/>
      <c r="F9" s="1"/>
    </row>
    <row r="10" spans="2:17" x14ac:dyDescent="0.3">
      <c r="B10"/>
      <c r="C10"/>
      <c r="D10"/>
    </row>
    <row r="11" spans="2:17" x14ac:dyDescent="0.3">
      <c r="B11"/>
      <c r="C11"/>
      <c r="D11"/>
    </row>
    <row r="12" spans="2:17" x14ac:dyDescent="0.3">
      <c r="B12"/>
      <c r="C12"/>
      <c r="D12"/>
    </row>
    <row r="13" spans="2:17" x14ac:dyDescent="0.3">
      <c r="B13"/>
      <c r="C13"/>
      <c r="D13"/>
    </row>
    <row r="14" spans="2:17" x14ac:dyDescent="0.3">
      <c r="B14"/>
      <c r="C14"/>
      <c r="D14"/>
    </row>
    <row r="15" spans="2:17" x14ac:dyDescent="0.3">
      <c r="B15"/>
      <c r="C15"/>
      <c r="D15"/>
    </row>
  </sheetData>
  <conditionalFormatting sqref="E3">
    <cfRule type="cellIs" dxfId="1" priority="1" operator="equal">
      <formula>"Sunday"</formula>
    </cfRule>
    <cfRule type="cellIs" dxfId="0" priority="2" operator="equal">
      <formula>"Saturday"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portrait" r:id="rId2"/>
  <headerFooter>
    <oddFooter>&amp;L© Naša mreža &amp; Igor Lazarević 2023, igor.lazarevic.77@gmail.com&amp;R&amp;P od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Time-tracking</vt:lpstr>
      <vt:lpstr>By month</vt:lpstr>
      <vt:lpstr>By project</vt:lpstr>
      <vt:lpstr>By place</vt:lpstr>
      <vt:lpstr>By effort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Lazarević</dc:creator>
  <cp:lastModifiedBy>Igor Lazarević</cp:lastModifiedBy>
  <cp:lastPrinted>2023-09-15T12:04:41Z</cp:lastPrinted>
  <dcterms:created xsi:type="dcterms:W3CDTF">2021-02-06T08:54:34Z</dcterms:created>
  <dcterms:modified xsi:type="dcterms:W3CDTF">2023-09-15T12:04:48Z</dcterms:modified>
</cp:coreProperties>
</file>