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pivotTables/pivotTable3.xml" ContentType="application/vnd.openxmlformats-officedocument.spreadsheetml.pivotTab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pivotTables/pivotTable4.xml" ContentType="application/vnd.openxmlformats-officedocument.spreadsheetml.pivotTable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D:\2... Posao\10... Stručni tekstovi\Naša mreža (novo)\1... Tekstovi\11... Time-tracking model\"/>
    </mc:Choice>
  </mc:AlternateContent>
  <xr:revisionPtr revIDLastSave="0" documentId="13_ncr:1_{A6669EFA-7443-4400-B27C-1CFB7DB2179D}" xr6:coauthVersionLast="47" xr6:coauthVersionMax="47" xr10:uidLastSave="{00000000-0000-0000-0000-000000000000}"/>
  <bookViews>
    <workbookView xWindow="-108" yWindow="-108" windowWidth="23256" windowHeight="12456" xr2:uid="{CDFEAB48-4505-4BD7-B75F-DDECA35D5971}"/>
  </bookViews>
  <sheets>
    <sheet name="Uputstvo" sheetId="11" r:id="rId1"/>
    <sheet name="Time-tracking" sheetId="4" r:id="rId2"/>
    <sheet name="Po mesecima" sheetId="5" r:id="rId3"/>
    <sheet name="Po projektu" sheetId="6" r:id="rId4"/>
    <sheet name="Po mestu" sheetId="7" r:id="rId5"/>
    <sheet name="Po nivou napora" sheetId="9" r:id="rId6"/>
  </sheets>
  <externalReferences>
    <externalReference r:id="rId7"/>
  </externalReferences>
  <definedNames>
    <definedName name="_xlnm._FilterDatabase" localSheetId="1" hidden="1">'Time-tracking'!$B$4:$Q$25</definedName>
    <definedName name="February" localSheetId="1">'Time-tracking'!#REF!</definedName>
    <definedName name="February">#REF!</definedName>
    <definedName name="Igor">#REF!</definedName>
    <definedName name="status">#REF!</definedName>
  </definedNames>
  <calcPr calcId="191029" concurrentCalc="0"/>
  <pivotCaches>
    <pivotCache cacheId="9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4" l="1"/>
  <c r="D22" i="4"/>
  <c r="E22" i="4"/>
  <c r="C23" i="4"/>
  <c r="D23" i="4"/>
  <c r="E23" i="4"/>
  <c r="C24" i="4"/>
  <c r="D24" i="4"/>
  <c r="E24" i="4"/>
  <c r="Q27" i="4"/>
  <c r="N27" i="4"/>
  <c r="M27" i="4"/>
  <c r="M25" i="4"/>
  <c r="N25" i="4"/>
  <c r="O25" i="4"/>
  <c r="Q25" i="4"/>
  <c r="Q22" i="4"/>
  <c r="Q23" i="4"/>
  <c r="Q24" i="4"/>
  <c r="L22" i="4"/>
  <c r="M22" i="4"/>
  <c r="N22" i="4"/>
  <c r="O22" i="4"/>
  <c r="L23" i="4"/>
  <c r="M23" i="4"/>
  <c r="N23" i="4"/>
  <c r="O23" i="4"/>
  <c r="L24" i="4"/>
  <c r="M24" i="4"/>
  <c r="N24" i="4"/>
  <c r="O24" i="4"/>
  <c r="H7" i="9"/>
  <c r="H6" i="9"/>
  <c r="H5" i="9"/>
  <c r="G7" i="9"/>
  <c r="G6" i="9"/>
  <c r="G5" i="9"/>
  <c r="H6" i="7"/>
  <c r="H5" i="7"/>
  <c r="G6" i="7"/>
  <c r="G5" i="7"/>
  <c r="H7" i="6"/>
  <c r="H6" i="6"/>
  <c r="H5" i="6"/>
  <c r="G7" i="6"/>
  <c r="G6" i="6"/>
  <c r="G5" i="6"/>
  <c r="H7" i="5"/>
  <c r="H6" i="5"/>
  <c r="H5" i="5"/>
  <c r="G7" i="5"/>
  <c r="G6" i="5"/>
  <c r="G5" i="5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5" i="4"/>
  <c r="H8" i="9"/>
  <c r="G8" i="9"/>
  <c r="F7" i="9"/>
  <c r="F6" i="9"/>
  <c r="F5" i="9"/>
  <c r="H7" i="7"/>
  <c r="G7" i="7"/>
  <c r="F6" i="7"/>
  <c r="F5" i="7"/>
  <c r="H8" i="6"/>
  <c r="G8" i="6"/>
  <c r="F7" i="6"/>
  <c r="F6" i="6"/>
  <c r="F5" i="6"/>
  <c r="H8" i="5"/>
  <c r="G8" i="5"/>
  <c r="F6" i="5"/>
  <c r="F7" i="5"/>
  <c r="F5" i="5"/>
  <c r="L6" i="4"/>
  <c r="M6" i="4"/>
  <c r="N6" i="4"/>
  <c r="O6" i="4"/>
  <c r="Q6" i="4"/>
  <c r="L7" i="4"/>
  <c r="M7" i="4"/>
  <c r="N7" i="4"/>
  <c r="O7" i="4"/>
  <c r="Q7" i="4"/>
  <c r="L8" i="4"/>
  <c r="M8" i="4"/>
  <c r="N8" i="4"/>
  <c r="O8" i="4"/>
  <c r="Q8" i="4"/>
  <c r="L9" i="4"/>
  <c r="M9" i="4"/>
  <c r="N9" i="4"/>
  <c r="O9" i="4"/>
  <c r="Q9" i="4"/>
  <c r="L10" i="4"/>
  <c r="M10" i="4"/>
  <c r="N10" i="4"/>
  <c r="O10" i="4"/>
  <c r="Q10" i="4"/>
  <c r="L11" i="4"/>
  <c r="M11" i="4"/>
  <c r="N11" i="4"/>
  <c r="O11" i="4"/>
  <c r="Q11" i="4"/>
  <c r="L12" i="4"/>
  <c r="M12" i="4"/>
  <c r="N12" i="4"/>
  <c r="O12" i="4"/>
  <c r="Q12" i="4"/>
  <c r="L13" i="4"/>
  <c r="M13" i="4"/>
  <c r="N13" i="4"/>
  <c r="O13" i="4"/>
  <c r="Q13" i="4"/>
  <c r="L14" i="4"/>
  <c r="M14" i="4"/>
  <c r="N14" i="4"/>
  <c r="O14" i="4"/>
  <c r="Q14" i="4"/>
  <c r="L15" i="4"/>
  <c r="M15" i="4"/>
  <c r="N15" i="4"/>
  <c r="O15" i="4"/>
  <c r="Q15" i="4"/>
  <c r="L16" i="4"/>
  <c r="M16" i="4"/>
  <c r="N16" i="4"/>
  <c r="O16" i="4"/>
  <c r="Q16" i="4"/>
  <c r="L17" i="4"/>
  <c r="M17" i="4"/>
  <c r="N17" i="4"/>
  <c r="O17" i="4"/>
  <c r="Q17" i="4"/>
  <c r="L18" i="4"/>
  <c r="M18" i="4"/>
  <c r="N18" i="4"/>
  <c r="O18" i="4"/>
  <c r="Q18" i="4"/>
  <c r="L19" i="4"/>
  <c r="M19" i="4"/>
  <c r="N19" i="4"/>
  <c r="O19" i="4"/>
  <c r="Q19" i="4"/>
  <c r="L20" i="4"/>
  <c r="M20" i="4"/>
  <c r="N20" i="4"/>
  <c r="O20" i="4"/>
  <c r="Q20" i="4"/>
  <c r="L21" i="4"/>
  <c r="M21" i="4"/>
  <c r="N21" i="4"/>
  <c r="O21" i="4"/>
  <c r="Q21" i="4"/>
  <c r="L5" i="4"/>
  <c r="M5" i="4"/>
  <c r="N5" i="4"/>
  <c r="O5" i="4"/>
  <c r="Q5" i="4"/>
  <c r="C21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5" i="4"/>
  <c r="D33" i="4"/>
  <c r="D34" i="4"/>
  <c r="D31" i="4"/>
  <c r="D32" i="4"/>
</calcChain>
</file>

<file path=xl/sharedStrings.xml><?xml version="1.0" encoding="utf-8"?>
<sst xmlns="http://schemas.openxmlformats.org/spreadsheetml/2006/main" count="161" uniqueCount="65">
  <si>
    <t>Datum</t>
  </si>
  <si>
    <t>Godina</t>
  </si>
  <si>
    <t>Mesec</t>
  </si>
  <si>
    <t>Dan</t>
  </si>
  <si>
    <t>Hercules</t>
  </si>
  <si>
    <t>Zorro</t>
  </si>
  <si>
    <t>Debussy</t>
  </si>
  <si>
    <t>Row Labels</t>
  </si>
  <si>
    <t>Grand Total</t>
  </si>
  <si>
    <t xml:space="preserve"> </t>
  </si>
  <si>
    <t>Uputstvo za upotrebu modela</t>
  </si>
  <si>
    <t xml:space="preserve">Kome je model namenjen?  </t>
  </si>
  <si>
    <r>
      <t xml:space="preserve">Model je namenjen </t>
    </r>
    <r>
      <rPr>
        <b/>
        <sz val="12"/>
        <color rgb="FFC00000"/>
        <rFont val="Calibri"/>
        <family val="2"/>
        <scheme val="minor"/>
      </rPr>
      <t>svima onima koji prate utrošeno vreme i naplatu vrše "po satu"</t>
    </r>
  </si>
  <si>
    <t>Kako se popunjava tabela?</t>
  </si>
  <si>
    <r>
      <t xml:space="preserve">Tabela se popunjava </t>
    </r>
    <r>
      <rPr>
        <b/>
        <sz val="12"/>
        <color rgb="FFC00000"/>
        <rFont val="Calibri"/>
        <family val="2"/>
        <scheme val="minor"/>
      </rPr>
      <t>tako što se unose odgovarajući podaci u polja koja su označena zelenom bojom.</t>
    </r>
  </si>
  <si>
    <t xml:space="preserve">Da li se tabela može menjati? </t>
  </si>
  <si>
    <r>
      <t xml:space="preserve">Da. Tabela se može menjati tako što se mogu </t>
    </r>
    <r>
      <rPr>
        <b/>
        <sz val="12"/>
        <color rgb="FFC00000"/>
        <rFont val="Calibri"/>
        <family val="2"/>
        <scheme val="minor"/>
      </rPr>
      <t>ubacivati novi redovi</t>
    </r>
    <r>
      <rPr>
        <sz val="12"/>
        <color theme="1"/>
        <rFont val="Calibri"/>
        <family val="2"/>
        <scheme val="minor"/>
      </rPr>
      <t xml:space="preserve"> (novi dani) i </t>
    </r>
    <r>
      <rPr>
        <b/>
        <sz val="12"/>
        <color rgb="FFC00000"/>
        <rFont val="Calibri"/>
        <family val="2"/>
        <scheme val="minor"/>
      </rPr>
      <t>nove kolone</t>
    </r>
    <r>
      <rPr>
        <sz val="12"/>
        <color theme="1"/>
        <rFont val="Calibri"/>
        <family val="2"/>
        <scheme val="minor"/>
      </rPr>
      <t xml:space="preserve"> (novi kriterijumi upisivanja).</t>
    </r>
  </si>
  <si>
    <t>Kako se ukucavaju datumi?</t>
  </si>
  <si>
    <t>Kako se ukucava vreme?</t>
  </si>
  <si>
    <t xml:space="preserve">Kako se prate analitike? </t>
  </si>
  <si>
    <t>Kako se ažuriraju analitike?</t>
  </si>
  <si>
    <r>
      <rPr>
        <sz val="12"/>
        <rFont val="Calibri"/>
        <family val="2"/>
        <scheme val="minor"/>
      </rPr>
      <t xml:space="preserve">Ažuriranje podataka se vrši </t>
    </r>
    <r>
      <rPr>
        <b/>
        <sz val="12"/>
        <color rgb="FFC00000"/>
        <rFont val="Calibri"/>
        <family val="2"/>
        <scheme val="minor"/>
      </rPr>
      <t>ažuriranjem Pivot tabela,</t>
    </r>
    <r>
      <rPr>
        <sz val="12"/>
        <rFont val="Calibri"/>
        <family val="2"/>
        <scheme val="minor"/>
      </rPr>
      <t xml:space="preserve"> tako što se stane na bilo koje polje tabele, pritisne desni taster miša i izabere opcija </t>
    </r>
    <r>
      <rPr>
        <b/>
        <sz val="12"/>
        <color rgb="FFC00000"/>
        <rFont val="Calibri"/>
        <family val="2"/>
        <scheme val="minor"/>
      </rPr>
      <t>"Refresh".</t>
    </r>
  </si>
  <si>
    <r>
      <t>Kolona sa datumima je formatirana. Dovoljno je ukucati datum, prva tri slova meseca i zadnje dve cifre godine. Npr. "</t>
    </r>
    <r>
      <rPr>
        <b/>
        <sz val="12"/>
        <color rgb="FFC00000"/>
        <rFont val="Calibri"/>
        <family val="2"/>
        <scheme val="minor"/>
      </rPr>
      <t>22sep23</t>
    </r>
    <r>
      <rPr>
        <sz val="12"/>
        <color theme="1"/>
        <rFont val="Calibri"/>
        <family val="2"/>
        <scheme val="minor"/>
      </rPr>
      <t>".</t>
    </r>
  </si>
  <si>
    <r>
      <t>Kolone sa podacima za vreme su formatirane. Vreme početka i završetka rada se ukucava tako što se unose sat i minut, sa dve tačke između. Npr. "</t>
    </r>
    <r>
      <rPr>
        <b/>
        <sz val="12"/>
        <color rgb="FFC00000"/>
        <rFont val="Calibri"/>
        <family val="2"/>
        <scheme val="minor"/>
      </rPr>
      <t>9:15</t>
    </r>
    <r>
      <rPr>
        <sz val="12"/>
        <color theme="1"/>
        <rFont val="Calibri"/>
        <family val="2"/>
        <scheme val="minor"/>
      </rPr>
      <t>".</t>
    </r>
  </si>
  <si>
    <t>VAŽNA NAPOMENA:</t>
  </si>
  <si>
    <t>POPUNJAVAJU SE SAMO ZELENA POLJA I AŽURIRAJU SE SAMO PIVOT TABELE. SVE OSTALO JE AUTOMATIZOVANO.</t>
  </si>
  <si>
    <t>Tabela za praćenje vremena za Q3 2023</t>
  </si>
  <si>
    <t>Aktivnost</t>
  </si>
  <si>
    <t>Projekat</t>
  </si>
  <si>
    <t>Mesto rada</t>
  </si>
  <si>
    <t>Nivo napora</t>
  </si>
  <si>
    <t>Početak</t>
  </si>
  <si>
    <t>Završetak</t>
  </si>
  <si>
    <t>Trajanje</t>
  </si>
  <si>
    <t>Sati</t>
  </si>
  <si>
    <t>Minuti</t>
  </si>
  <si>
    <t>Ukupno minuta</t>
  </si>
  <si>
    <t>Naknada, po satu</t>
  </si>
  <si>
    <t>Naknada, ukupno</t>
  </si>
  <si>
    <t>Dizajn logotipa za projekat</t>
  </si>
  <si>
    <t>Planiranje izrade knjige grafičkih standarda</t>
  </si>
  <si>
    <t>Izrada vizuala za društvene medije</t>
  </si>
  <si>
    <t>Obrada profilnih slika za vebsajt</t>
  </si>
  <si>
    <t>Radionica "Minimalistički dizajn za video"</t>
  </si>
  <si>
    <t>Dizajniranje promotivnih materijala</t>
  </si>
  <si>
    <t>Dizajniranje oglasa za posao menadžera prodaje</t>
  </si>
  <si>
    <t>Moja kancelarija</t>
  </si>
  <si>
    <t>Klijentova kancelarija</t>
  </si>
  <si>
    <t>Visok</t>
  </si>
  <si>
    <t>Srednji</t>
  </si>
  <si>
    <t>Nizak</t>
  </si>
  <si>
    <t>Pregled</t>
  </si>
  <si>
    <t>Kontrolna suma</t>
  </si>
  <si>
    <t>Ukupno</t>
  </si>
  <si>
    <t>Naknada, prosečno po satu</t>
  </si>
  <si>
    <t>Meseci</t>
  </si>
  <si>
    <t>Ukupna naknada</t>
  </si>
  <si>
    <t>Sum of Ukupno minuta</t>
  </si>
  <si>
    <t>Sum of Naknada, ukupno</t>
  </si>
  <si>
    <t>Decembar</t>
  </si>
  <si>
    <t>Novembar</t>
  </si>
  <si>
    <t>Oktobar</t>
  </si>
  <si>
    <t>Projekti</t>
  </si>
  <si>
    <t>Mesto</t>
  </si>
  <si>
    <r>
      <t xml:space="preserve">Moguće je pratiti razne analitike - po mesecima, projektima, mestu itd. Ti pregledi se nalaze </t>
    </r>
    <r>
      <rPr>
        <b/>
        <sz val="12"/>
        <color rgb="FFC00000"/>
        <rFont val="Calibri"/>
        <family val="2"/>
        <scheme val="minor"/>
      </rPr>
      <t>u plavim Sheet-ovima</t>
    </r>
    <r>
      <rPr>
        <sz val="12"/>
        <color theme="1"/>
        <rFont val="Calibri"/>
        <family val="2"/>
        <scheme val="minor"/>
      </rPr>
      <t xml:space="preserve"> (po mesecima, po projektu, po mestu itd).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</si>
</sst>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h:mm;@"/>
    <numFmt numFmtId="165" formatCode="#,##0.0"/>
    <numFmt numFmtId="166" formatCode="#,##0\ [$€-1]"/>
    <numFmt numFmtId="167" formatCode="#,##0.0\ [$€-1]"/>
    <numFmt numFmtId="168" formatCode="[$-409]d\-mmm\-yy;@"/>
    <numFmt numFmtId="169" formatCode="[$-241A]d\.\ mmmm\ yyyy;@"/>
    <numFmt numFmtId="170" formatCode="0.0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8"/>
      <color theme="1"/>
      <name val="Segoe UI Black"/>
      <family val="2"/>
    </font>
    <font>
      <b/>
      <sz val="20"/>
      <color theme="1"/>
      <name val="Segoe UI Black"/>
      <family val="2"/>
    </font>
    <font>
      <b/>
      <sz val="12"/>
      <color rgb="FFC00000"/>
      <name val="Calibri"/>
      <family val="2"/>
      <scheme val="minor"/>
    </font>
    <font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left" vertical="center" inden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indent="1"/>
    </xf>
    <xf numFmtId="164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 indent="1"/>
    </xf>
    <xf numFmtId="164" fontId="5" fillId="3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center" vertical="center" wrapText="1"/>
    </xf>
    <xf numFmtId="167" fontId="5" fillId="3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left" vertical="center" indent="1"/>
    </xf>
    <xf numFmtId="0" fontId="3" fillId="4" borderId="1" xfId="0" applyFont="1" applyFill="1" applyBorder="1" applyAlignment="1">
      <alignment horizontal="left" vertical="center" indent="1"/>
    </xf>
    <xf numFmtId="164" fontId="3" fillId="4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166" fontId="3" fillId="4" borderId="1" xfId="0" applyNumberFormat="1" applyFont="1" applyFill="1" applyBorder="1" applyAlignment="1">
      <alignment horizontal="center" vertical="center"/>
    </xf>
    <xf numFmtId="167" fontId="3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left" vertical="center" indent="1"/>
    </xf>
    <xf numFmtId="164" fontId="5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166" fontId="5" fillId="3" borderId="1" xfId="0" applyNumberFormat="1" applyFont="1" applyFill="1" applyBorder="1" applyAlignment="1">
      <alignment horizontal="center" vertical="center"/>
    </xf>
    <xf numFmtId="167" fontId="5" fillId="3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164" fontId="6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167" fontId="7" fillId="0" borderId="0" xfId="0" applyNumberFormat="1" applyFont="1" applyAlignment="1">
      <alignment horizontal="center" vertical="center"/>
    </xf>
    <xf numFmtId="0" fontId="3" fillId="5" borderId="1" xfId="0" applyFont="1" applyFill="1" applyBorder="1" applyAlignment="1">
      <alignment horizontal="right" vertical="center" indent="2"/>
    </xf>
    <xf numFmtId="3" fontId="3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left" vertical="center"/>
    </xf>
    <xf numFmtId="167" fontId="3" fillId="0" borderId="0" xfId="0" applyNumberFormat="1" applyFont="1" applyAlignment="1">
      <alignment horizontal="left" vertical="center"/>
    </xf>
    <xf numFmtId="166" fontId="5" fillId="6" borderId="1" xfId="0" applyNumberFormat="1" applyFont="1" applyFill="1" applyBorder="1" applyAlignment="1">
      <alignment horizontal="right" vertical="center" indent="1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pivotButton="1" applyAlignment="1">
      <alignment vertical="center"/>
    </xf>
    <xf numFmtId="0" fontId="0" fillId="2" borderId="1" xfId="0" applyFill="1" applyBorder="1" applyAlignment="1">
      <alignment horizontal="left" vertical="center" indent="1"/>
    </xf>
    <xf numFmtId="0" fontId="2" fillId="3" borderId="1" xfId="0" applyFont="1" applyFill="1" applyBorder="1" applyAlignment="1">
      <alignment horizontal="left" vertical="center" indent="1"/>
    </xf>
    <xf numFmtId="0" fontId="2" fillId="3" borderId="1" xfId="0" applyFont="1" applyFill="1" applyBorder="1" applyAlignment="1">
      <alignment horizontal="center" vertical="center"/>
    </xf>
    <xf numFmtId="166" fontId="0" fillId="2" borderId="1" xfId="0" applyNumberFormat="1" applyFill="1" applyBorder="1" applyAlignment="1">
      <alignment horizontal="center" vertical="center"/>
    </xf>
    <xf numFmtId="166" fontId="2" fillId="3" borderId="1" xfId="0" applyNumberFormat="1" applyFon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left" vertical="center" indent="1"/>
    </xf>
    <xf numFmtId="3" fontId="1" fillId="0" borderId="0" xfId="0" applyNumberFormat="1" applyFont="1" applyAlignment="1">
      <alignment horizontal="right" vertical="top" indent="1"/>
    </xf>
    <xf numFmtId="3" fontId="1" fillId="0" borderId="0" xfId="0" applyNumberFormat="1" applyFont="1" applyAlignment="1">
      <alignment horizontal="left" vertical="top" wrapText="1" indent="1"/>
    </xf>
    <xf numFmtId="3" fontId="3" fillId="7" borderId="0" xfId="0" applyNumberFormat="1" applyFont="1" applyFill="1" applyAlignment="1">
      <alignment horizontal="left" vertical="center" indent="1"/>
    </xf>
    <xf numFmtId="3" fontId="3" fillId="0" borderId="0" xfId="0" applyNumberFormat="1" applyFont="1" applyAlignment="1">
      <alignment horizontal="right" vertical="top" indent="1"/>
    </xf>
    <xf numFmtId="3" fontId="3" fillId="8" borderId="0" xfId="0" applyNumberFormat="1" applyFont="1" applyFill="1" applyAlignment="1">
      <alignment horizontal="left" vertical="center" wrapText="1" indent="1"/>
    </xf>
    <xf numFmtId="3" fontId="3" fillId="0" borderId="0" xfId="0" applyNumberFormat="1" applyFont="1" applyAlignment="1">
      <alignment horizontal="left" vertical="center" indent="1"/>
    </xf>
    <xf numFmtId="3" fontId="3" fillId="0" borderId="0" xfId="0" applyNumberFormat="1" applyFont="1" applyAlignment="1">
      <alignment horizontal="left" vertical="center" wrapText="1" indent="1"/>
    </xf>
    <xf numFmtId="3" fontId="10" fillId="8" borderId="0" xfId="0" applyNumberFormat="1" applyFont="1" applyFill="1" applyAlignment="1">
      <alignment horizontal="left" vertical="center" wrapText="1" indent="1"/>
    </xf>
    <xf numFmtId="169" fontId="3" fillId="4" borderId="1" xfId="0" applyNumberFormat="1" applyFont="1" applyFill="1" applyBorder="1" applyAlignment="1">
      <alignment horizontal="left" vertical="center" indent="1"/>
    </xf>
    <xf numFmtId="170" fontId="0" fillId="0" borderId="0" xfId="0" applyNumberFormat="1" applyAlignment="1">
      <alignment horizontal="center" vertical="center"/>
    </xf>
    <xf numFmtId="168" fontId="9" fillId="0" borderId="0" xfId="0" applyNumberFormat="1" applyFont="1" applyAlignment="1">
      <alignment vertical="center"/>
    </xf>
    <xf numFmtId="0" fontId="3" fillId="5" borderId="2" xfId="0" applyFont="1" applyFill="1" applyBorder="1" applyAlignment="1">
      <alignment horizontal="left" vertical="center" indent="1"/>
    </xf>
    <xf numFmtId="0" fontId="3" fillId="5" borderId="3" xfId="0" applyFont="1" applyFill="1" applyBorder="1" applyAlignment="1">
      <alignment horizontal="left" vertical="center" indent="1"/>
    </xf>
    <xf numFmtId="0" fontId="4" fillId="6" borderId="2" xfId="0" applyFont="1" applyFill="1" applyBorder="1" applyAlignment="1">
      <alignment horizontal="left" vertical="center" indent="1"/>
    </xf>
    <xf numFmtId="0" fontId="4" fillId="6" borderId="3" xfId="0" applyFont="1" applyFill="1" applyBorder="1" applyAlignment="1">
      <alignment horizontal="left" vertical="center" indent="1"/>
    </xf>
  </cellXfs>
  <cellStyles count="1">
    <cellStyle name="Normal" xfId="0" builtinId="0"/>
  </cellStyles>
  <dxfs count="35">
    <dxf>
      <font>
        <color rgb="FFFF3300"/>
      </font>
    </dxf>
    <dxf>
      <font>
        <color rgb="FFFF3300"/>
      </font>
    </dxf>
    <dxf>
      <font>
        <color rgb="FFFF3300"/>
      </font>
    </dxf>
    <dxf>
      <font>
        <color rgb="FFFF3300"/>
      </font>
    </dxf>
    <dxf>
      <font>
        <color rgb="FFFF3300"/>
      </font>
    </dxf>
    <dxf>
      <font>
        <color rgb="FFFF3300"/>
      </font>
    </dxf>
    <dxf>
      <font>
        <color rgb="FFFF3300"/>
      </font>
    </dxf>
    <dxf>
      <font>
        <color rgb="FFFF3300"/>
      </font>
    </dxf>
    <dxf>
      <font>
        <color rgb="FFFF3300"/>
      </font>
    </dxf>
    <dxf>
      <font>
        <color rgb="FFFF3300"/>
      </font>
    </dxf>
    <dxf>
      <numFmt numFmtId="170" formatCode="0.0"/>
    </dxf>
    <dxf>
      <alignment horizontal="center"/>
    </dxf>
    <dxf>
      <alignment horizontal="left" relativeIndent="1"/>
    </dxf>
    <dxf>
      <alignment vertical="center" indent="0"/>
    </dxf>
    <dxf>
      <alignment vertical="center" indent="0"/>
    </dxf>
    <dxf>
      <alignment vertical="center" indent="0"/>
    </dxf>
    <dxf>
      <alignment horizontal="general" indent="0"/>
    </dxf>
    <dxf>
      <alignment horizontal="center"/>
    </dxf>
    <dxf>
      <alignment horizontal="left" relativeIndent="1"/>
    </dxf>
    <dxf>
      <alignment vertical="center" indent="0"/>
    </dxf>
    <dxf>
      <alignment vertical="center" indent="0"/>
    </dxf>
    <dxf>
      <alignment vertical="center" indent="0"/>
    </dxf>
    <dxf>
      <alignment horizontal="general" indent="0"/>
    </dxf>
    <dxf>
      <alignment horizontal="center"/>
    </dxf>
    <dxf>
      <alignment horizontal="left" relativeIndent="1"/>
    </dxf>
    <dxf>
      <alignment vertical="center" indent="0"/>
    </dxf>
    <dxf>
      <alignment vertical="center" indent="0"/>
    </dxf>
    <dxf>
      <alignment vertical="center" indent="0"/>
    </dxf>
    <dxf>
      <alignment horizontal="general" indent="0"/>
    </dxf>
    <dxf>
      <alignment horizontal="center"/>
    </dxf>
    <dxf>
      <alignment horizontal="left" relativeIndent="1"/>
    </dxf>
    <dxf>
      <alignment vertical="center" indent="0"/>
    </dxf>
    <dxf>
      <alignment vertical="center" indent="0"/>
    </dxf>
    <dxf>
      <alignment vertical="center" indent="0"/>
    </dxf>
    <dxf>
      <alignment horizontal="general" indent="0"/>
    </dxf>
  </dxfs>
  <tableStyles count="0" defaultTableStyle="TableStyleMedium2" defaultPivotStyle="PivotStyleLight16"/>
  <colors>
    <mruColors>
      <color rgb="FFCCFF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r-Latn-RS"/>
              <a:t>utrošeno vreme i naknada, po</a:t>
            </a:r>
            <a:r>
              <a:rPr lang="sr-Latn-RS" baseline="0"/>
              <a:t> mesecima</a:t>
            </a:r>
            <a:endParaRPr lang="sr-Latn-R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2.4618215012000719E-2"/>
          <c:y val="0.28307221787648651"/>
          <c:w val="0.95076356997599853"/>
          <c:h val="0.565725161644866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 mesecima'!$G$4</c:f>
              <c:strCache>
                <c:ptCount val="1"/>
                <c:pt idx="0">
                  <c:v>Ukupno minuta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'Po mesecima'!$F$5:$F$7</c:f>
              <c:strCache>
                <c:ptCount val="3"/>
                <c:pt idx="0">
                  <c:v>Decembar</c:v>
                </c:pt>
                <c:pt idx="1">
                  <c:v>Novembar</c:v>
                </c:pt>
                <c:pt idx="2">
                  <c:v>Oktobar</c:v>
                </c:pt>
              </c:strCache>
            </c:strRef>
          </c:cat>
          <c:val>
            <c:numRef>
              <c:f>'Po mesecima'!$G$5:$G$7</c:f>
              <c:numCache>
                <c:formatCode>#,##0</c:formatCode>
                <c:ptCount val="3"/>
                <c:pt idx="0">
                  <c:v>1069</c:v>
                </c:pt>
                <c:pt idx="1">
                  <c:v>978</c:v>
                </c:pt>
                <c:pt idx="2">
                  <c:v>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CB-4D15-9A66-F7C2AD228E60}"/>
            </c:ext>
          </c:extLst>
        </c:ser>
        <c:ser>
          <c:idx val="1"/>
          <c:order val="1"/>
          <c:tx>
            <c:strRef>
              <c:f>'Po mesecima'!$H$4</c:f>
              <c:strCache>
                <c:ptCount val="1"/>
                <c:pt idx="0">
                  <c:v>Ukupna naknada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'Po mesecima'!$F$5:$F$7</c:f>
              <c:strCache>
                <c:ptCount val="3"/>
                <c:pt idx="0">
                  <c:v>Decembar</c:v>
                </c:pt>
                <c:pt idx="1">
                  <c:v>Novembar</c:v>
                </c:pt>
                <c:pt idx="2">
                  <c:v>Oktobar</c:v>
                </c:pt>
              </c:strCache>
            </c:strRef>
          </c:cat>
          <c:val>
            <c:numRef>
              <c:f>'Po mesecima'!$H$5:$H$7</c:f>
              <c:numCache>
                <c:formatCode>#,##0\ [$€-1]</c:formatCode>
                <c:ptCount val="3"/>
                <c:pt idx="0">
                  <c:v>639.5</c:v>
                </c:pt>
                <c:pt idx="1">
                  <c:v>407.50000000000006</c:v>
                </c:pt>
                <c:pt idx="2">
                  <c:v>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CB-4D15-9A66-F7C2AD228E6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00"/>
        <c:overlap val="-45"/>
        <c:axId val="705428848"/>
        <c:axId val="2071246112"/>
      </c:barChart>
      <c:catAx>
        <c:axId val="7054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cap="all" spc="120" normalizeH="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071246112"/>
        <c:crosses val="autoZero"/>
        <c:auto val="1"/>
        <c:lblAlgn val="ctr"/>
        <c:lblOffset val="100"/>
        <c:noMultiLvlLbl val="0"/>
      </c:catAx>
      <c:valAx>
        <c:axId val="207124611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7054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85000"/>
              <a:lumOff val="15000"/>
            </a:schemeClr>
          </a:solidFill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r-Latn-RS" sz="1600" b="1" i="0" u="none" strike="noStrike" kern="1200" cap="all" spc="120" normalizeH="0" baseline="0">
                <a:solidFill>
                  <a:sysClr val="windowText" lastClr="000000">
                    <a:lumMod val="85000"/>
                    <a:lumOff val="15000"/>
                  </a:sysClr>
                </a:solidFill>
              </a:rPr>
              <a:t>utrošeno vreme i naknada, po nivou napora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2.4618215012000719E-2"/>
          <c:y val="0.28307221787648651"/>
          <c:w val="0.95076356997599853"/>
          <c:h val="0.565725161644866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 nivou napora'!$G$4</c:f>
              <c:strCache>
                <c:ptCount val="1"/>
                <c:pt idx="0">
                  <c:v>Ukupno minuta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'Po nivou napora'!$F$5:$F$7</c:f>
              <c:strCache>
                <c:ptCount val="3"/>
                <c:pt idx="0">
                  <c:v>Nizak</c:v>
                </c:pt>
                <c:pt idx="1">
                  <c:v>Srednji</c:v>
                </c:pt>
                <c:pt idx="2">
                  <c:v>Visok</c:v>
                </c:pt>
              </c:strCache>
            </c:strRef>
          </c:cat>
          <c:val>
            <c:numRef>
              <c:f>'Po nivou napora'!$G$5:$G$7</c:f>
              <c:numCache>
                <c:formatCode>#,##0</c:formatCode>
                <c:ptCount val="3"/>
                <c:pt idx="0">
                  <c:v>239</c:v>
                </c:pt>
                <c:pt idx="1">
                  <c:v>1027</c:v>
                </c:pt>
                <c:pt idx="2">
                  <c:v>1589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3E-45C0-8B4C-BA814F85DD25}"/>
            </c:ext>
          </c:extLst>
        </c:ser>
        <c:ser>
          <c:idx val="1"/>
          <c:order val="1"/>
          <c:tx>
            <c:strRef>
              <c:f>'Po nivou napora'!$H$4</c:f>
              <c:strCache>
                <c:ptCount val="1"/>
                <c:pt idx="0">
                  <c:v>Ukupna naknada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'Po nivou napora'!$F$5:$F$7</c:f>
              <c:strCache>
                <c:ptCount val="3"/>
                <c:pt idx="0">
                  <c:v>Nizak</c:v>
                </c:pt>
                <c:pt idx="1">
                  <c:v>Srednji</c:v>
                </c:pt>
                <c:pt idx="2">
                  <c:v>Visok</c:v>
                </c:pt>
              </c:strCache>
            </c:strRef>
          </c:cat>
          <c:val>
            <c:numRef>
              <c:f>'Po nivou napora'!$H$5:$H$7</c:f>
              <c:numCache>
                <c:formatCode>#,##0\ [$€-1]</c:formatCode>
                <c:ptCount val="3"/>
                <c:pt idx="0">
                  <c:v>99.583333333333343</c:v>
                </c:pt>
                <c:pt idx="1">
                  <c:v>576.5</c:v>
                </c:pt>
                <c:pt idx="2">
                  <c:v>837.91666666666663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3E-45C0-8B4C-BA814F85DD2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00"/>
        <c:overlap val="-45"/>
        <c:axId val="705428848"/>
        <c:axId val="2071246112"/>
      </c:barChart>
      <c:catAx>
        <c:axId val="7054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cap="all" spc="120" normalizeH="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071246112"/>
        <c:crosses val="autoZero"/>
        <c:auto val="1"/>
        <c:lblAlgn val="ctr"/>
        <c:lblOffset val="100"/>
        <c:noMultiLvlLbl val="0"/>
      </c:catAx>
      <c:valAx>
        <c:axId val="207124611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7054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85000"/>
              <a:lumOff val="15000"/>
            </a:schemeClr>
          </a:solidFill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r-Latn-RS" sz="1600" b="1"/>
              <a:t>VREME, PO NIVOU NAPORA</a:t>
            </a:r>
            <a:endParaRPr lang="en-US" sz="16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0.25417007739838371"/>
          <c:y val="0.1955872703412074"/>
          <c:w val="0.49868173664092064"/>
          <c:h val="0.65757545931758532"/>
        </c:manualLayout>
      </c:layout>
      <c:pieChart>
        <c:varyColors val="1"/>
        <c:ser>
          <c:idx val="0"/>
          <c:order val="0"/>
          <c:tx>
            <c:strRef>
              <c:f>'Po nivou napora'!$G$4</c:f>
              <c:strCache>
                <c:ptCount val="1"/>
                <c:pt idx="0">
                  <c:v>Ukupno minuta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1AD-4330-BC38-A9969CD3880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1AD-4330-BC38-A9969CD3880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1AD-4330-BC38-A9969CD3880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nivou napora'!$F$5:$F$7</c:f>
              <c:strCache>
                <c:ptCount val="3"/>
                <c:pt idx="0">
                  <c:v>Nizak</c:v>
                </c:pt>
                <c:pt idx="1">
                  <c:v>Srednji</c:v>
                </c:pt>
                <c:pt idx="2">
                  <c:v>Visok</c:v>
                </c:pt>
              </c:strCache>
            </c:strRef>
          </c:cat>
          <c:val>
            <c:numRef>
              <c:f>'Po nivou napora'!$G$5:$G$7</c:f>
              <c:numCache>
                <c:formatCode>#,##0</c:formatCode>
                <c:ptCount val="3"/>
                <c:pt idx="0">
                  <c:v>239</c:v>
                </c:pt>
                <c:pt idx="1">
                  <c:v>1027</c:v>
                </c:pt>
                <c:pt idx="2">
                  <c:v>1589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1AD-4330-BC38-A9969CD3880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85000"/>
              <a:lumOff val="15000"/>
            </a:schemeClr>
          </a:solidFill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r-Latn-RS" sz="1600" b="1"/>
              <a:t>NAKNADA, PO</a:t>
            </a:r>
            <a:r>
              <a:rPr lang="sr-Latn-RS" sz="1600" b="1" baseline="0"/>
              <a:t> NIVOU NAPORA</a:t>
            </a:r>
            <a:endParaRPr lang="en-US" sz="16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0.25417007739838371"/>
          <c:y val="0.1955872703412074"/>
          <c:w val="0.49868173664092064"/>
          <c:h val="0.65757545931758532"/>
        </c:manualLayout>
      </c:layout>
      <c:pieChart>
        <c:varyColors val="1"/>
        <c:ser>
          <c:idx val="0"/>
          <c:order val="0"/>
          <c:tx>
            <c:strRef>
              <c:f>'Po nivou napora'!$H$4</c:f>
              <c:strCache>
                <c:ptCount val="1"/>
                <c:pt idx="0">
                  <c:v>Ukupna naknada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938-4193-959C-212BD69C7B8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938-4193-959C-212BD69C7B8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938-4193-959C-212BD69C7B8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nivou napora'!$F$5:$F$7</c:f>
              <c:strCache>
                <c:ptCount val="3"/>
                <c:pt idx="0">
                  <c:v>Nizak</c:v>
                </c:pt>
                <c:pt idx="1">
                  <c:v>Srednji</c:v>
                </c:pt>
                <c:pt idx="2">
                  <c:v>Visok</c:v>
                </c:pt>
              </c:strCache>
            </c:strRef>
          </c:cat>
          <c:val>
            <c:numRef>
              <c:f>'Po nivou napora'!$H$5:$H$7</c:f>
              <c:numCache>
                <c:formatCode>#,##0\ [$€-1]</c:formatCode>
                <c:ptCount val="3"/>
                <c:pt idx="0">
                  <c:v>99.583333333333343</c:v>
                </c:pt>
                <c:pt idx="1">
                  <c:v>576.5</c:v>
                </c:pt>
                <c:pt idx="2">
                  <c:v>837.91666666666663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938-4193-959C-212BD69C7B8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85000"/>
              <a:lumOff val="15000"/>
            </a:schemeClr>
          </a:solidFill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r-Latn-RS" sz="1600" b="1"/>
              <a:t>VREME, PO MESECIMA</a:t>
            </a:r>
            <a:endParaRPr lang="en-US" sz="16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0.25417007739838371"/>
          <c:y val="0.1955872703412074"/>
          <c:w val="0.49868173664092064"/>
          <c:h val="0.65757545931758532"/>
        </c:manualLayout>
      </c:layout>
      <c:pieChart>
        <c:varyColors val="1"/>
        <c:ser>
          <c:idx val="0"/>
          <c:order val="0"/>
          <c:tx>
            <c:strRef>
              <c:f>'Po mesecima'!$G$4</c:f>
              <c:strCache>
                <c:ptCount val="1"/>
                <c:pt idx="0">
                  <c:v>Ukupno minuta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2DC-48F2-B83A-B8606AF207A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2DC-48F2-B83A-B8606AF207A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2DC-48F2-B83A-B8606AF207A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mesecima'!$F$5:$F$7</c:f>
              <c:strCache>
                <c:ptCount val="3"/>
                <c:pt idx="0">
                  <c:v>Decembar</c:v>
                </c:pt>
                <c:pt idx="1">
                  <c:v>Novembar</c:v>
                </c:pt>
                <c:pt idx="2">
                  <c:v>Oktobar</c:v>
                </c:pt>
              </c:strCache>
            </c:strRef>
          </c:cat>
          <c:val>
            <c:numRef>
              <c:f>'Po mesecima'!$G$5:$G$7</c:f>
              <c:numCache>
                <c:formatCode>#,##0</c:formatCode>
                <c:ptCount val="3"/>
                <c:pt idx="0">
                  <c:v>1069</c:v>
                </c:pt>
                <c:pt idx="1">
                  <c:v>978</c:v>
                </c:pt>
                <c:pt idx="2">
                  <c:v>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2DC-48F2-B83A-B8606AF207A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85000"/>
              <a:lumOff val="15000"/>
            </a:schemeClr>
          </a:solidFill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r-Latn-RS" sz="1600" b="1"/>
              <a:t>NAKNADA, PO</a:t>
            </a:r>
            <a:r>
              <a:rPr lang="sr-Latn-RS" sz="1600" b="1" baseline="0"/>
              <a:t> MESECIMA</a:t>
            </a:r>
            <a:endParaRPr lang="en-US" sz="16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0.25417007739838371"/>
          <c:y val="0.1955872703412074"/>
          <c:w val="0.49868173664092064"/>
          <c:h val="0.65757545931758532"/>
        </c:manualLayout>
      </c:layout>
      <c:pieChart>
        <c:varyColors val="1"/>
        <c:ser>
          <c:idx val="0"/>
          <c:order val="0"/>
          <c:tx>
            <c:strRef>
              <c:f>'Po mesecima'!$H$4</c:f>
              <c:strCache>
                <c:ptCount val="1"/>
                <c:pt idx="0">
                  <c:v>Ukupna naknada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A56-45F8-8F9F-F226634BBA1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A56-45F8-8F9F-F226634BBA1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A56-45F8-8F9F-F226634BBA1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mesecima'!$F$5:$F$7</c:f>
              <c:strCache>
                <c:ptCount val="3"/>
                <c:pt idx="0">
                  <c:v>Decembar</c:v>
                </c:pt>
                <c:pt idx="1">
                  <c:v>Novembar</c:v>
                </c:pt>
                <c:pt idx="2">
                  <c:v>Oktobar</c:v>
                </c:pt>
              </c:strCache>
            </c:strRef>
          </c:cat>
          <c:val>
            <c:numRef>
              <c:f>'Po mesecima'!$H$5:$H$7</c:f>
              <c:numCache>
                <c:formatCode>#,##0\ [$€-1]</c:formatCode>
                <c:ptCount val="3"/>
                <c:pt idx="0">
                  <c:v>639.5</c:v>
                </c:pt>
                <c:pt idx="1">
                  <c:v>407.50000000000006</c:v>
                </c:pt>
                <c:pt idx="2">
                  <c:v>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A56-45F8-8F9F-F226634BBA1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85000"/>
              <a:lumOff val="15000"/>
            </a:schemeClr>
          </a:solidFill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r-Latn-RS" sz="1600" b="1" i="0" u="none" strike="noStrike" kern="1200" cap="all" spc="120" normalizeH="0" baseline="0">
                <a:solidFill>
                  <a:sysClr val="windowText" lastClr="000000">
                    <a:lumMod val="85000"/>
                    <a:lumOff val="15000"/>
                  </a:sysClr>
                </a:solidFill>
              </a:rPr>
              <a:t>utrošeno vreme i naknada, po projektima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2.4618215012000719E-2"/>
          <c:y val="0.28307221787648651"/>
          <c:w val="0.95076356997599853"/>
          <c:h val="0.565725161644866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 projektu'!$G$4</c:f>
              <c:strCache>
                <c:ptCount val="1"/>
                <c:pt idx="0">
                  <c:v>Ukupno minuta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'Po projektu'!$F$5:$F$7</c:f>
              <c:strCache>
                <c:ptCount val="3"/>
                <c:pt idx="0">
                  <c:v>Debussy</c:v>
                </c:pt>
                <c:pt idx="1">
                  <c:v>Hercules</c:v>
                </c:pt>
                <c:pt idx="2">
                  <c:v>Zorro</c:v>
                </c:pt>
              </c:strCache>
            </c:strRef>
          </c:cat>
          <c:val>
            <c:numRef>
              <c:f>'Po projektu'!$G$5:$G$7</c:f>
              <c:numCache>
                <c:formatCode>#,##0</c:formatCode>
                <c:ptCount val="3"/>
                <c:pt idx="0">
                  <c:v>1342</c:v>
                </c:pt>
                <c:pt idx="1">
                  <c:v>715</c:v>
                </c:pt>
                <c:pt idx="2">
                  <c:v>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E8-46A8-BFE5-F500DFF14432}"/>
            </c:ext>
          </c:extLst>
        </c:ser>
        <c:ser>
          <c:idx val="1"/>
          <c:order val="1"/>
          <c:tx>
            <c:strRef>
              <c:f>'Po projektu'!$H$4</c:f>
              <c:strCache>
                <c:ptCount val="1"/>
                <c:pt idx="0">
                  <c:v>Ukupna naknada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'Po projektu'!$F$5:$F$7</c:f>
              <c:strCache>
                <c:ptCount val="3"/>
                <c:pt idx="0">
                  <c:v>Debussy</c:v>
                </c:pt>
                <c:pt idx="1">
                  <c:v>Hercules</c:v>
                </c:pt>
                <c:pt idx="2">
                  <c:v>Zorro</c:v>
                </c:pt>
              </c:strCache>
            </c:strRef>
          </c:cat>
          <c:val>
            <c:numRef>
              <c:f>'Po projektu'!$H$5:$H$7</c:f>
              <c:numCache>
                <c:formatCode>#,##0\ [$€-1]</c:formatCode>
                <c:ptCount val="3"/>
                <c:pt idx="0">
                  <c:v>589.5</c:v>
                </c:pt>
                <c:pt idx="1">
                  <c:v>357.5</c:v>
                </c:pt>
                <c:pt idx="2">
                  <c:v>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E8-46A8-BFE5-F500DFF1443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00"/>
        <c:overlap val="-45"/>
        <c:axId val="705428848"/>
        <c:axId val="2071246112"/>
      </c:barChart>
      <c:catAx>
        <c:axId val="7054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cap="all" spc="120" normalizeH="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071246112"/>
        <c:crosses val="autoZero"/>
        <c:auto val="1"/>
        <c:lblAlgn val="ctr"/>
        <c:lblOffset val="100"/>
        <c:noMultiLvlLbl val="0"/>
      </c:catAx>
      <c:valAx>
        <c:axId val="207124611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7054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85000"/>
              <a:lumOff val="15000"/>
            </a:schemeClr>
          </a:solidFill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r-Latn-RS" sz="1600" b="1"/>
              <a:t>VREME, PO PROJEKTIMA</a:t>
            </a:r>
            <a:endParaRPr lang="en-US" sz="16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0.25417007739838371"/>
          <c:y val="0.1955872703412074"/>
          <c:w val="0.49868173664092064"/>
          <c:h val="0.65757545931758532"/>
        </c:manualLayout>
      </c:layout>
      <c:pieChart>
        <c:varyColors val="1"/>
        <c:ser>
          <c:idx val="0"/>
          <c:order val="0"/>
          <c:tx>
            <c:strRef>
              <c:f>'Po projektu'!$G$4</c:f>
              <c:strCache>
                <c:ptCount val="1"/>
                <c:pt idx="0">
                  <c:v>Ukupno minuta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8F0-4CE7-BFAD-2A787CBF9F3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8F0-4CE7-BFAD-2A787CBF9F3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8F0-4CE7-BFAD-2A787CBF9F3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projektu'!$F$5:$F$7</c:f>
              <c:strCache>
                <c:ptCount val="3"/>
                <c:pt idx="0">
                  <c:v>Debussy</c:v>
                </c:pt>
                <c:pt idx="1">
                  <c:v>Hercules</c:v>
                </c:pt>
                <c:pt idx="2">
                  <c:v>Zorro</c:v>
                </c:pt>
              </c:strCache>
            </c:strRef>
          </c:cat>
          <c:val>
            <c:numRef>
              <c:f>'Po projektu'!$G$5:$G$7</c:f>
              <c:numCache>
                <c:formatCode>#,##0</c:formatCode>
                <c:ptCount val="3"/>
                <c:pt idx="0">
                  <c:v>1342</c:v>
                </c:pt>
                <c:pt idx="1">
                  <c:v>715</c:v>
                </c:pt>
                <c:pt idx="2">
                  <c:v>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8F0-4CE7-BFAD-2A787CBF9F3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85000"/>
              <a:lumOff val="15000"/>
            </a:schemeClr>
          </a:solidFill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r-Latn-RS" sz="1600" b="1"/>
              <a:t>NAKNADA, PO</a:t>
            </a:r>
            <a:r>
              <a:rPr lang="sr-Latn-RS" sz="1600" b="1" baseline="0"/>
              <a:t> PROJEKTIMA</a:t>
            </a:r>
            <a:endParaRPr lang="en-US" sz="16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0.25417007739838371"/>
          <c:y val="0.1955872703412074"/>
          <c:w val="0.49868173664092064"/>
          <c:h val="0.65757545931758532"/>
        </c:manualLayout>
      </c:layout>
      <c:pieChart>
        <c:varyColors val="1"/>
        <c:ser>
          <c:idx val="0"/>
          <c:order val="0"/>
          <c:tx>
            <c:strRef>
              <c:f>'Po projektu'!$H$4</c:f>
              <c:strCache>
                <c:ptCount val="1"/>
                <c:pt idx="0">
                  <c:v>Ukupna naknada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180-4672-9554-2BB50EC3890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180-4672-9554-2BB50EC3890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180-4672-9554-2BB50EC3890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projektu'!$F$5:$F$7</c:f>
              <c:strCache>
                <c:ptCount val="3"/>
                <c:pt idx="0">
                  <c:v>Debussy</c:v>
                </c:pt>
                <c:pt idx="1">
                  <c:v>Hercules</c:v>
                </c:pt>
                <c:pt idx="2">
                  <c:v>Zorro</c:v>
                </c:pt>
              </c:strCache>
            </c:strRef>
          </c:cat>
          <c:val>
            <c:numRef>
              <c:f>'Po projektu'!$H$5:$H$7</c:f>
              <c:numCache>
                <c:formatCode>#,##0\ [$€-1]</c:formatCode>
                <c:ptCount val="3"/>
                <c:pt idx="0">
                  <c:v>589.5</c:v>
                </c:pt>
                <c:pt idx="1">
                  <c:v>357.5</c:v>
                </c:pt>
                <c:pt idx="2">
                  <c:v>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180-4672-9554-2BB50EC3890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85000"/>
              <a:lumOff val="15000"/>
            </a:schemeClr>
          </a:solidFill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r-Latn-RS" sz="1600" b="1" i="0" u="none" strike="noStrike" kern="1200" cap="all" spc="120" normalizeH="0" baseline="0">
                <a:solidFill>
                  <a:sysClr val="windowText" lastClr="000000">
                    <a:lumMod val="85000"/>
                    <a:lumOff val="15000"/>
                  </a:sysClr>
                </a:solidFill>
              </a:rPr>
              <a:t>utrošeno vreme i naknada, po mestu rada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2.4618215012000719E-2"/>
          <c:y val="0.28307221787648651"/>
          <c:w val="0.95076356997599853"/>
          <c:h val="0.565725161644866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 mestu'!$G$4</c:f>
              <c:strCache>
                <c:ptCount val="1"/>
                <c:pt idx="0">
                  <c:v>Ukupno minuta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'Po mestu'!$F$5:$F$6</c:f>
              <c:strCache>
                <c:ptCount val="2"/>
                <c:pt idx="0">
                  <c:v>Klijentova kancelarija</c:v>
                </c:pt>
                <c:pt idx="1">
                  <c:v>Moja kancelarija</c:v>
                </c:pt>
              </c:strCache>
            </c:strRef>
          </c:cat>
          <c:val>
            <c:numRef>
              <c:f>'Po mestu'!$G$5:$G$6</c:f>
              <c:numCache>
                <c:formatCode>#,##0</c:formatCode>
                <c:ptCount val="2"/>
                <c:pt idx="0">
                  <c:v>798</c:v>
                </c:pt>
                <c:pt idx="1">
                  <c:v>2057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01-4CCC-A7D5-0733BC23CCD7}"/>
            </c:ext>
          </c:extLst>
        </c:ser>
        <c:ser>
          <c:idx val="1"/>
          <c:order val="1"/>
          <c:tx>
            <c:strRef>
              <c:f>'Po mestu'!$H$4</c:f>
              <c:strCache>
                <c:ptCount val="1"/>
                <c:pt idx="0">
                  <c:v>Ukupna naknada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'Po mestu'!$F$5:$F$6</c:f>
              <c:strCache>
                <c:ptCount val="2"/>
                <c:pt idx="0">
                  <c:v>Klijentova kancelarija</c:v>
                </c:pt>
                <c:pt idx="1">
                  <c:v>Moja kancelarija</c:v>
                </c:pt>
              </c:strCache>
            </c:strRef>
          </c:cat>
          <c:val>
            <c:numRef>
              <c:f>'Po mestu'!$H$5:$H$6</c:f>
              <c:numCache>
                <c:formatCode>#,##0\ [$€-1]</c:formatCode>
                <c:ptCount val="2"/>
                <c:pt idx="0">
                  <c:v>567</c:v>
                </c:pt>
                <c:pt idx="1">
                  <c:v>946.99999999999989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01-4CCC-A7D5-0733BC23CCD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00"/>
        <c:overlap val="-45"/>
        <c:axId val="705428848"/>
        <c:axId val="2071246112"/>
      </c:barChart>
      <c:catAx>
        <c:axId val="7054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cap="all" spc="120" normalizeH="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071246112"/>
        <c:crosses val="autoZero"/>
        <c:auto val="1"/>
        <c:lblAlgn val="ctr"/>
        <c:lblOffset val="100"/>
        <c:noMultiLvlLbl val="0"/>
      </c:catAx>
      <c:valAx>
        <c:axId val="207124611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7054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85000"/>
              <a:lumOff val="15000"/>
            </a:schemeClr>
          </a:solidFill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r-Latn-RS" sz="1600" b="1"/>
              <a:t>VREME, PO MESTU RADA</a:t>
            </a:r>
            <a:endParaRPr lang="en-US" sz="16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0.25417007739838371"/>
          <c:y val="0.1955872703412074"/>
          <c:w val="0.49868173664092064"/>
          <c:h val="0.65757545931758532"/>
        </c:manualLayout>
      </c:layout>
      <c:pieChart>
        <c:varyColors val="1"/>
        <c:ser>
          <c:idx val="0"/>
          <c:order val="0"/>
          <c:tx>
            <c:strRef>
              <c:f>'Po mestu'!$G$4</c:f>
              <c:strCache>
                <c:ptCount val="1"/>
                <c:pt idx="0">
                  <c:v>Ukupno minuta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455-4AF8-B3C2-4C13EC1D80B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455-4AF8-B3C2-4C13EC1D80B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mestu'!$F$5:$F$6</c:f>
              <c:strCache>
                <c:ptCount val="2"/>
                <c:pt idx="0">
                  <c:v>Klijentova kancelarija</c:v>
                </c:pt>
                <c:pt idx="1">
                  <c:v>Moja kancelarija</c:v>
                </c:pt>
              </c:strCache>
            </c:strRef>
          </c:cat>
          <c:val>
            <c:numRef>
              <c:f>'Po mestu'!$G$5:$G$6</c:f>
              <c:numCache>
                <c:formatCode>#,##0</c:formatCode>
                <c:ptCount val="2"/>
                <c:pt idx="0">
                  <c:v>798</c:v>
                </c:pt>
                <c:pt idx="1">
                  <c:v>2057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455-4AF8-B3C2-4C13EC1D80B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85000"/>
              <a:lumOff val="15000"/>
            </a:schemeClr>
          </a:solidFill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r-Latn-RS" sz="1600" b="1"/>
              <a:t>NAKNADA, PO</a:t>
            </a:r>
            <a:r>
              <a:rPr lang="sr-Latn-RS" sz="1600" b="1" baseline="0"/>
              <a:t> MESTU RADA</a:t>
            </a:r>
            <a:endParaRPr lang="en-US" sz="16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0.25417007739838371"/>
          <c:y val="0.1955872703412074"/>
          <c:w val="0.49868173664092064"/>
          <c:h val="0.65757545931758532"/>
        </c:manualLayout>
      </c:layout>
      <c:pieChart>
        <c:varyColors val="1"/>
        <c:ser>
          <c:idx val="0"/>
          <c:order val="0"/>
          <c:tx>
            <c:strRef>
              <c:f>'Po mestu'!$H$4</c:f>
              <c:strCache>
                <c:ptCount val="1"/>
                <c:pt idx="0">
                  <c:v>Ukupna naknada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CA4-44BC-A0AD-D892F55DEDC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CA4-44BC-A0AD-D892F55DEDC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mestu'!$F$5:$F$6</c:f>
              <c:strCache>
                <c:ptCount val="2"/>
                <c:pt idx="0">
                  <c:v>Klijentova kancelarija</c:v>
                </c:pt>
                <c:pt idx="1">
                  <c:v>Moja kancelarija</c:v>
                </c:pt>
              </c:strCache>
            </c:strRef>
          </c:cat>
          <c:val>
            <c:numRef>
              <c:f>'Po mestu'!$H$5:$H$6</c:f>
              <c:numCache>
                <c:formatCode>#,##0\ [$€-1]</c:formatCode>
                <c:ptCount val="2"/>
                <c:pt idx="0">
                  <c:v>567</c:v>
                </c:pt>
                <c:pt idx="1">
                  <c:v>946.99999999999989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CA4-44BC-A0AD-D892F55DEDC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85000"/>
              <a:lumOff val="15000"/>
            </a:schemeClr>
          </a:solidFill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124099</xdr:colOff>
      <xdr:row>0</xdr:row>
      <xdr:rowOff>141516</xdr:rowOff>
    </xdr:from>
    <xdr:to>
      <xdr:col>16</xdr:col>
      <xdr:colOff>1350087</xdr:colOff>
      <xdr:row>1</xdr:row>
      <xdr:rowOff>337459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9C4BF98-D7A6-4A46-A84E-FD98D3951ED8}"/>
            </a:ext>
          </a:extLst>
        </xdr:cNvPr>
        <xdr:cNvSpPr txBox="1"/>
      </xdr:nvSpPr>
      <xdr:spPr>
        <a:xfrm>
          <a:off x="15418528" y="141516"/>
          <a:ext cx="4589673" cy="391886"/>
        </a:xfrm>
        <a:prstGeom prst="rect">
          <a:avLst/>
        </a:prstGeom>
        <a:solidFill>
          <a:srgbClr val="CCFF99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r-Latn-RS" sz="1600" b="1" baseline="0">
              <a:solidFill>
                <a:srgbClr val="FF0000"/>
              </a:solidFill>
              <a:latin typeface="Segoe UI Black" panose="020B0A02040204020203" pitchFamily="34" charset="0"/>
              <a:ea typeface="Segoe UI Black" panose="020B0A02040204020203" pitchFamily="34" charset="0"/>
            </a:rPr>
            <a:t>POPUNJAVATI SAMO ZELENA POLJA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475130</xdr:colOff>
      <xdr:row>10</xdr:row>
      <xdr:rowOff>49306</xdr:rowOff>
    </xdr:from>
    <xdr:to>
      <xdr:col>7</xdr:col>
      <xdr:colOff>1138518</xdr:colOff>
      <xdr:row>28</xdr:row>
      <xdr:rowOff>53788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AB30BED-CFD8-9C3A-7524-265E5E041B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318248</xdr:colOff>
      <xdr:row>1</xdr:row>
      <xdr:rowOff>62753</xdr:rowOff>
    </xdr:from>
    <xdr:to>
      <xdr:col>14</xdr:col>
      <xdr:colOff>277907</xdr:colOff>
      <xdr:row>16</xdr:row>
      <xdr:rowOff>71718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2FEBBE9-3C3C-4411-A0CE-1631B03C4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313765</xdr:colOff>
      <xdr:row>16</xdr:row>
      <xdr:rowOff>138953</xdr:rowOff>
    </xdr:from>
    <xdr:to>
      <xdr:col>14</xdr:col>
      <xdr:colOff>273424</xdr:colOff>
      <xdr:row>32</xdr:row>
      <xdr:rowOff>13448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AC40B88-F1EB-4C89-B69F-77A13FF6AE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475130</xdr:colOff>
      <xdr:row>10</xdr:row>
      <xdr:rowOff>49306</xdr:rowOff>
    </xdr:from>
    <xdr:to>
      <xdr:col>7</xdr:col>
      <xdr:colOff>1138518</xdr:colOff>
      <xdr:row>28</xdr:row>
      <xdr:rowOff>53788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4AE5F30-BC7F-4494-9459-E56CB6D14D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255495</xdr:colOff>
      <xdr:row>1</xdr:row>
      <xdr:rowOff>44823</xdr:rowOff>
    </xdr:from>
    <xdr:to>
      <xdr:col>14</xdr:col>
      <xdr:colOff>215154</xdr:colOff>
      <xdr:row>16</xdr:row>
      <xdr:rowOff>53788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9844558-7FA4-4656-B390-BC0E42E178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251012</xdr:colOff>
      <xdr:row>16</xdr:row>
      <xdr:rowOff>121023</xdr:rowOff>
    </xdr:from>
    <xdr:to>
      <xdr:col>14</xdr:col>
      <xdr:colOff>210671</xdr:colOff>
      <xdr:row>31</xdr:row>
      <xdr:rowOff>174812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AA39099-0D3A-4B1F-88B8-D5B79CEEF8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475130</xdr:colOff>
      <xdr:row>10</xdr:row>
      <xdr:rowOff>49306</xdr:rowOff>
    </xdr:from>
    <xdr:to>
      <xdr:col>7</xdr:col>
      <xdr:colOff>1138518</xdr:colOff>
      <xdr:row>28</xdr:row>
      <xdr:rowOff>53788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F2CCD47-523D-4F47-88C7-04A70E6128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219636</xdr:colOff>
      <xdr:row>1</xdr:row>
      <xdr:rowOff>71718</xdr:rowOff>
    </xdr:from>
    <xdr:to>
      <xdr:col>14</xdr:col>
      <xdr:colOff>179295</xdr:colOff>
      <xdr:row>16</xdr:row>
      <xdr:rowOff>80683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7E645C0-7E6E-4108-ADC1-B3B6D5B4B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215153</xdr:colOff>
      <xdr:row>16</xdr:row>
      <xdr:rowOff>147918</xdr:rowOff>
    </xdr:from>
    <xdr:to>
      <xdr:col>14</xdr:col>
      <xdr:colOff>174812</xdr:colOff>
      <xdr:row>32</xdr:row>
      <xdr:rowOff>22413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2DD1D40-FA0F-480C-BD0A-9D3C7860E2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475130</xdr:colOff>
      <xdr:row>10</xdr:row>
      <xdr:rowOff>49306</xdr:rowOff>
    </xdr:from>
    <xdr:to>
      <xdr:col>7</xdr:col>
      <xdr:colOff>1138518</xdr:colOff>
      <xdr:row>28</xdr:row>
      <xdr:rowOff>53788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1BAF61D-F3E0-4953-860D-15FEDE0E9E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282388</xdr:colOff>
      <xdr:row>1</xdr:row>
      <xdr:rowOff>62753</xdr:rowOff>
    </xdr:from>
    <xdr:to>
      <xdr:col>14</xdr:col>
      <xdr:colOff>242047</xdr:colOff>
      <xdr:row>16</xdr:row>
      <xdr:rowOff>71718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430E685-D45D-4F02-A33D-A3B483BFF0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277905</xdr:colOff>
      <xdr:row>16</xdr:row>
      <xdr:rowOff>138953</xdr:rowOff>
    </xdr:from>
    <xdr:to>
      <xdr:col>14</xdr:col>
      <xdr:colOff>237564</xdr:colOff>
      <xdr:row>32</xdr:row>
      <xdr:rowOff>13448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A89BC73-9F3F-4245-B538-84BEC4CB67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2...%20Posao\10...%20Stru&#269;ni%20tekstovi\Na&#353;a%20mre&#382;a%20(novo)\1...%20Tekstovi\11...%20Time-tracking%20model\Time-tracking%20(engleski).xlsx" TargetMode="External"/><Relationship Id="rId1" Type="http://schemas.openxmlformats.org/officeDocument/2006/relationships/externalLinkPath" Target="Time-tracking%20(engleski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structions"/>
      <sheetName val="Time-tracking"/>
      <sheetName val="By month"/>
      <sheetName val="By project"/>
      <sheetName val="By place"/>
      <sheetName val="By effort"/>
    </sheetNames>
    <sheetDataSet>
      <sheetData sheetId="0" refreshError="1"/>
      <sheetData sheetId="1" refreshError="1"/>
      <sheetData sheetId="2">
        <row r="4">
          <cell r="G4" t="str">
            <v>Total minutes</v>
          </cell>
          <cell r="H4" t="str">
            <v>Total fee</v>
          </cell>
        </row>
        <row r="5">
          <cell r="F5" t="str">
            <v>October</v>
          </cell>
          <cell r="G5">
            <v>808</v>
          </cell>
          <cell r="H5">
            <v>467</v>
          </cell>
        </row>
        <row r="6">
          <cell r="F6" t="str">
            <v>November</v>
          </cell>
          <cell r="G6">
            <v>978</v>
          </cell>
          <cell r="H6">
            <v>407.50000000000006</v>
          </cell>
        </row>
        <row r="7">
          <cell r="F7" t="str">
            <v>December</v>
          </cell>
          <cell r="G7">
            <v>1069</v>
          </cell>
          <cell r="H7">
            <v>639.5</v>
          </cell>
        </row>
      </sheetData>
      <sheetData sheetId="3" refreshError="1"/>
      <sheetData sheetId="4" refreshError="1"/>
      <sheetData sheetId="5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orisnik" refreshedDate="45184.023459490738" createdVersion="8" refreshedVersion="8" minRefreshableVersion="3" recordCount="17" xr:uid="{3901084E-9269-44A7-98B8-31D392BAC445}">
  <cacheSource type="worksheet">
    <worksheetSource ref="B4:Q21" sheet="Time-tracking"/>
  </cacheSource>
  <cacheFields count="16">
    <cacheField name="Datum" numFmtId="169">
      <sharedItems containsSemiMixedTypes="0" containsNonDate="0" containsDate="1" containsString="0" minDate="2023-10-02T00:00:00" maxDate="2023-12-16T00:00:00"/>
    </cacheField>
    <cacheField name="Godina" numFmtId="3">
      <sharedItems/>
    </cacheField>
    <cacheField name="Mesec" numFmtId="3">
      <sharedItems count="3">
        <s v="Oktobar"/>
        <s v="Novembar"/>
        <s v="Decembar"/>
      </sharedItems>
    </cacheField>
    <cacheField name="Dan" numFmtId="3">
      <sharedItems/>
    </cacheField>
    <cacheField name="Aktivnost" numFmtId="0">
      <sharedItems/>
    </cacheField>
    <cacheField name="Projekat" numFmtId="0">
      <sharedItems count="3">
        <s v="Hercules"/>
        <s v="Zorro"/>
        <s v="Debussy"/>
      </sharedItems>
    </cacheField>
    <cacheField name="Mesto rada" numFmtId="0">
      <sharedItems count="2">
        <s v="Moja kancelarija"/>
        <s v="Klijentova kancelarija"/>
      </sharedItems>
    </cacheField>
    <cacheField name="Nivo napora" numFmtId="0">
      <sharedItems count="3">
        <s v="Visok"/>
        <s v="Srednji"/>
        <s v="Nizak"/>
      </sharedItems>
    </cacheField>
    <cacheField name="Početak" numFmtId="164">
      <sharedItems containsSemiMixedTypes="0" containsNonDate="0" containsDate="1" containsString="0" minDate="1899-12-30T08:40:00" maxDate="1899-12-30T17:00:00"/>
    </cacheField>
    <cacheField name="Završetak" numFmtId="164">
      <sharedItems containsSemiMixedTypes="0" containsNonDate="0" containsDate="1" containsString="0" minDate="1899-12-30T11:07:00" maxDate="1899-12-30T19:16:00"/>
    </cacheField>
    <cacheField name="Trajanje" numFmtId="164">
      <sharedItems containsSemiMixedTypes="0" containsNonDate="0" containsDate="1" containsString="0" minDate="1899-12-30T01:42:00" maxDate="1899-12-30T04:14:00"/>
    </cacheField>
    <cacheField name="Sati" numFmtId="3">
      <sharedItems containsSemiMixedTypes="0" containsString="0" containsNumber="1" containsInteger="1" minValue="1" maxValue="4"/>
    </cacheField>
    <cacheField name="Minuti" numFmtId="3">
      <sharedItems containsSemiMixedTypes="0" containsString="0" containsNumber="1" containsInteger="1" minValue="4" maxValue="56"/>
    </cacheField>
    <cacheField name="Ukupno minuta" numFmtId="3">
      <sharedItems containsSemiMixedTypes="0" containsString="0" containsNumber="1" containsInteger="1" minValue="102" maxValue="254"/>
    </cacheField>
    <cacheField name="Naknada, po satu" numFmtId="166">
      <sharedItems containsSemiMixedTypes="0" containsString="0" containsNumber="1" containsInteger="1" minValue="25" maxValue="45"/>
    </cacheField>
    <cacheField name="Naknada, ukupno" numFmtId="167">
      <sharedItems containsSemiMixedTypes="0" containsString="0" containsNumber="1" minValue="47.916666666666671" maxValue="157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">
  <r>
    <d v="2023-10-02T00:00:00"/>
    <s v="2023"/>
    <x v="0"/>
    <s v="Ponedeljak"/>
    <s v="Dizajn logotipa za projekat"/>
    <x v="0"/>
    <x v="0"/>
    <x v="0"/>
    <d v="1899-12-30T10:10:00"/>
    <d v="1899-12-30T12:22:00"/>
    <d v="1899-12-30T02:12:00"/>
    <n v="2"/>
    <n v="12"/>
    <n v="132"/>
    <n v="30"/>
    <n v="66"/>
  </r>
  <r>
    <d v="2023-10-02T00:00:00"/>
    <s v="2023"/>
    <x v="0"/>
    <s v="Ponedeljak"/>
    <s v="Dizajn logotipa za projekat"/>
    <x v="0"/>
    <x v="0"/>
    <x v="0"/>
    <d v="1899-12-30T13:15:00"/>
    <d v="1899-12-30T14:57:00"/>
    <d v="1899-12-30T01:42:00"/>
    <n v="1"/>
    <n v="42"/>
    <n v="102"/>
    <n v="30"/>
    <n v="51"/>
  </r>
  <r>
    <d v="2023-10-02T00:00:00"/>
    <s v="2023"/>
    <x v="0"/>
    <s v="Ponedeljak"/>
    <s v="Dizajn logotipa za projekat"/>
    <x v="0"/>
    <x v="0"/>
    <x v="0"/>
    <d v="1899-12-30T16:00:00"/>
    <d v="1899-12-30T19:16:00"/>
    <d v="1899-12-30T03:16:00"/>
    <n v="3"/>
    <n v="16"/>
    <n v="196"/>
    <n v="30"/>
    <n v="98"/>
  </r>
  <r>
    <d v="2023-10-14T00:00:00"/>
    <s v="2023"/>
    <x v="0"/>
    <s v="Subota"/>
    <s v="Planiranje izrade knjige grafičkih standarda"/>
    <x v="1"/>
    <x v="1"/>
    <x v="1"/>
    <d v="1899-12-30T11:00:00"/>
    <d v="1899-12-30T13:45:00"/>
    <d v="1899-12-30T02:45:00"/>
    <n v="2"/>
    <n v="45"/>
    <n v="165"/>
    <n v="40"/>
    <n v="110"/>
  </r>
  <r>
    <d v="2023-10-14T00:00:00"/>
    <s v="2023"/>
    <x v="0"/>
    <s v="Subota"/>
    <s v="Planiranje izrade knjige grafičkih standarda"/>
    <x v="1"/>
    <x v="1"/>
    <x v="1"/>
    <d v="1899-12-30T15:00:00"/>
    <d v="1899-12-30T18:33:00"/>
    <d v="1899-12-30T03:33:00"/>
    <n v="3"/>
    <n v="33"/>
    <n v="213"/>
    <n v="40"/>
    <n v="142"/>
  </r>
  <r>
    <d v="2023-11-06T00:00:00"/>
    <s v="2023"/>
    <x v="1"/>
    <s v="Ponedeljak"/>
    <s v="Izrada vizuala za društvene medije"/>
    <x v="2"/>
    <x v="0"/>
    <x v="0"/>
    <d v="1899-12-30T10:30:00"/>
    <d v="1899-12-30T13:04:00"/>
    <d v="1899-12-30T02:34:00"/>
    <n v="2"/>
    <n v="34"/>
    <n v="154"/>
    <n v="25"/>
    <n v="64.166666666666671"/>
  </r>
  <r>
    <d v="2023-11-06T00:00:00"/>
    <s v="2023"/>
    <x v="1"/>
    <s v="Ponedeljak"/>
    <s v="Izrada vizuala za društvene medije"/>
    <x v="2"/>
    <x v="0"/>
    <x v="0"/>
    <d v="1899-12-30T15:00:00"/>
    <d v="1899-12-30T19:14:00"/>
    <d v="1899-12-30T04:14:00"/>
    <n v="4"/>
    <n v="14"/>
    <n v="254"/>
    <n v="25"/>
    <n v="105.83333333333334"/>
  </r>
  <r>
    <d v="2023-11-09T00:00:00"/>
    <s v="2023"/>
    <x v="1"/>
    <s v="Četvrtak"/>
    <s v="Izrada vizuala za društvene medije"/>
    <x v="2"/>
    <x v="0"/>
    <x v="0"/>
    <d v="1899-12-30T09:45:00"/>
    <d v="1899-12-30T11:41:00"/>
    <d v="1899-12-30T01:56:00"/>
    <n v="1"/>
    <n v="56"/>
    <n v="116"/>
    <n v="25"/>
    <n v="48.333333333333336"/>
  </r>
  <r>
    <d v="2023-11-09T00:00:00"/>
    <s v="2023"/>
    <x v="1"/>
    <s v="Četvrtak"/>
    <s v="Izrada vizuala za društvene medije"/>
    <x v="2"/>
    <x v="0"/>
    <x v="0"/>
    <d v="1899-12-30T12:30:00"/>
    <d v="1899-12-30T16:05:00"/>
    <d v="1899-12-30T03:35:00"/>
    <n v="3"/>
    <n v="35"/>
    <n v="215"/>
    <n v="25"/>
    <n v="89.583333333333343"/>
  </r>
  <r>
    <d v="2023-11-17T00:00:00"/>
    <s v="2023"/>
    <x v="1"/>
    <s v="Petak"/>
    <s v="Obrada profilnih slika za vebsajt"/>
    <x v="2"/>
    <x v="0"/>
    <x v="2"/>
    <d v="1899-12-30T14:15:00"/>
    <d v="1899-12-30T16:10:00"/>
    <d v="1899-12-30T01:55:00"/>
    <n v="1"/>
    <n v="55"/>
    <n v="115"/>
    <n v="25"/>
    <n v="47.916666666666671"/>
  </r>
  <r>
    <d v="2023-11-17T00:00:00"/>
    <s v="2023"/>
    <x v="1"/>
    <s v="Petak"/>
    <s v="Obrada profilnih slika za vebsajt"/>
    <x v="2"/>
    <x v="0"/>
    <x v="2"/>
    <d v="1899-12-30T17:00:00"/>
    <d v="1899-12-30T19:04:00"/>
    <d v="1899-12-30T02:04:00"/>
    <n v="2"/>
    <n v="4"/>
    <n v="124"/>
    <n v="25"/>
    <n v="51.666666666666671"/>
  </r>
  <r>
    <d v="2023-12-10T00:00:00"/>
    <s v="2023"/>
    <x v="2"/>
    <s v="Nedelja"/>
    <s v="Radionica &quot;Minimalistički dizajn za video&quot;"/>
    <x v="1"/>
    <x v="1"/>
    <x v="0"/>
    <d v="1899-12-30T10:00:00"/>
    <d v="1899-12-30T13:30:00"/>
    <d v="1899-12-30T03:30:00"/>
    <n v="3"/>
    <n v="30"/>
    <n v="210"/>
    <n v="45"/>
    <n v="157.5"/>
  </r>
  <r>
    <d v="2023-12-10T00:00:00"/>
    <s v="2023"/>
    <x v="2"/>
    <s v="Nedelja"/>
    <s v="Radionica &quot;Minimalistički dizajn za video&quot;"/>
    <x v="1"/>
    <x v="1"/>
    <x v="0"/>
    <d v="1899-12-30T15:00:00"/>
    <d v="1899-12-30T18:30:00"/>
    <d v="1899-12-30T03:30:00"/>
    <n v="3"/>
    <n v="30"/>
    <n v="210"/>
    <n v="45"/>
    <n v="157.5"/>
  </r>
  <r>
    <d v="2023-12-12T00:00:00"/>
    <s v="2023"/>
    <x v="2"/>
    <s v="Utorak"/>
    <s v="Dizajniranje promotivnih materijala"/>
    <x v="2"/>
    <x v="0"/>
    <x v="1"/>
    <d v="1899-12-30T09:00:00"/>
    <d v="1899-12-30T12:11:00"/>
    <d v="1899-12-30T03:11:00"/>
    <n v="3"/>
    <n v="11"/>
    <n v="191"/>
    <n v="30"/>
    <n v="95.5"/>
  </r>
  <r>
    <d v="2023-12-12T00:00:00"/>
    <s v="2023"/>
    <x v="2"/>
    <s v="Utorak"/>
    <s v="Dizajniranje promotivnih materijala"/>
    <x v="2"/>
    <x v="0"/>
    <x v="1"/>
    <d v="1899-12-30T14:30:00"/>
    <d v="1899-12-30T17:23:00"/>
    <d v="1899-12-30T02:53:00"/>
    <n v="2"/>
    <n v="53"/>
    <n v="173"/>
    <n v="30"/>
    <n v="86.5"/>
  </r>
  <r>
    <d v="2023-12-15T00:00:00"/>
    <s v="2023"/>
    <x v="2"/>
    <s v="Petak"/>
    <s v="Dizajniranje oglasa za posao menadžera prodaje"/>
    <x v="0"/>
    <x v="0"/>
    <x v="1"/>
    <d v="1899-12-30T08:40:00"/>
    <d v="1899-12-30T11:07:00"/>
    <d v="1899-12-30T02:27:00"/>
    <n v="2"/>
    <n v="27"/>
    <n v="147"/>
    <n v="30"/>
    <n v="73.5"/>
  </r>
  <r>
    <d v="2023-12-15T00:00:00"/>
    <s v="2023"/>
    <x v="2"/>
    <s v="Petak"/>
    <s v="Dizajniranje oglasa za posao menadžera prodaje"/>
    <x v="0"/>
    <x v="0"/>
    <x v="1"/>
    <d v="1899-12-30T12:00:00"/>
    <d v="1899-12-30T14:18:00"/>
    <d v="1899-12-30T02:18:00"/>
    <n v="2"/>
    <n v="18"/>
    <n v="138"/>
    <n v="30"/>
    <n v="6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B741B35-B6A6-43B3-A70D-CC18F1AD33E9}" name="PivotTable3" cacheId="9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B4:D8" firstHeaderRow="0" firstDataRow="1" firstDataCol="1"/>
  <pivotFields count="16">
    <pivotField numFmtId="169" showAll="0"/>
    <pivotField showAll="0"/>
    <pivotField axis="axisRow" showAll="0">
      <items count="4">
        <item x="2"/>
        <item x="1"/>
        <item x="0"/>
        <item t="default"/>
      </items>
    </pivotField>
    <pivotField showAll="0"/>
    <pivotField showAll="0"/>
    <pivotField showAll="0"/>
    <pivotField showAll="0"/>
    <pivotField showAll="0"/>
    <pivotField numFmtId="164" showAll="0"/>
    <pivotField numFmtId="164" showAll="0"/>
    <pivotField numFmtId="164" showAll="0"/>
    <pivotField numFmtId="3" showAll="0"/>
    <pivotField numFmtId="3" showAll="0"/>
    <pivotField dataField="1" numFmtId="3" showAll="0"/>
    <pivotField numFmtId="166" showAll="0"/>
    <pivotField dataField="1" numFmtId="167" showAll="0"/>
  </pivotFields>
  <rowFields count="1">
    <field x="2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Ukupno minuta" fld="13" baseField="0" baseItem="0"/>
    <dataField name="Sum of Naknada, ukupno" fld="15" baseField="0" baseItem="0"/>
  </dataFields>
  <formats count="6">
    <format dxfId="34">
      <pivotArea dataOnly="0" labelOnly="1" grandRow="1" outline="0" fieldPosition="0"/>
    </format>
    <format dxfId="33">
      <pivotArea type="all" dataOnly="0" outline="0" fieldPosition="0"/>
    </format>
    <format dxfId="32">
      <pivotArea outline="0" collapsedLevelsAreSubtotals="1" fieldPosition="0"/>
    </format>
    <format dxfId="31">
      <pivotArea dataOnly="0" labelOnly="1" grandRow="1" outline="0" fieldPosition="0"/>
    </format>
    <format dxfId="30">
      <pivotArea dataOnly="0" labelOnly="1" grandRow="1" outline="0" fieldPosition="0"/>
    </format>
    <format dxfId="29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661930A-7072-47C9-8AA5-120C13E1D3D8}" name="PivotTable3" cacheId="9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B4:D8" firstHeaderRow="0" firstDataRow="1" firstDataCol="1"/>
  <pivotFields count="16">
    <pivotField numFmtId="169" showAll="0"/>
    <pivotField showAll="0"/>
    <pivotField showAll="0"/>
    <pivotField showAll="0"/>
    <pivotField showAll="0"/>
    <pivotField axis="axisRow" showAll="0">
      <items count="4">
        <item x="2"/>
        <item x="0"/>
        <item x="1"/>
        <item t="default"/>
      </items>
    </pivotField>
    <pivotField showAll="0"/>
    <pivotField showAll="0"/>
    <pivotField numFmtId="164" showAll="0"/>
    <pivotField numFmtId="164" showAll="0"/>
    <pivotField numFmtId="164" showAll="0"/>
    <pivotField numFmtId="3" showAll="0"/>
    <pivotField numFmtId="3" showAll="0"/>
    <pivotField dataField="1" numFmtId="3" showAll="0"/>
    <pivotField numFmtId="166" showAll="0"/>
    <pivotField dataField="1" numFmtId="167" showAll="0"/>
  </pivotFields>
  <rowFields count="1">
    <field x="5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Ukupno minuta" fld="13" baseField="0" baseItem="0"/>
    <dataField name="Sum of Naknada, ukupno" fld="15" baseField="0" baseItem="0"/>
  </dataFields>
  <formats count="6">
    <format dxfId="28">
      <pivotArea dataOnly="0" labelOnly="1" grandRow="1" outline="0" fieldPosition="0"/>
    </format>
    <format dxfId="27">
      <pivotArea type="all" dataOnly="0" outline="0" fieldPosition="0"/>
    </format>
    <format dxfId="26">
      <pivotArea outline="0" collapsedLevelsAreSubtotals="1" fieldPosition="0"/>
    </format>
    <format dxfId="25">
      <pivotArea dataOnly="0" labelOnly="1" grandRow="1" outline="0" fieldPosition="0"/>
    </format>
    <format dxfId="24">
      <pivotArea dataOnly="0" labelOnly="1" grandRow="1" outline="0" fieldPosition="0"/>
    </format>
    <format dxfId="2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9A054ED-68B3-466A-BF4D-2EBEE7431142}" name="PivotTable3" cacheId="9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B4:D7" firstHeaderRow="0" firstDataRow="1" firstDataCol="1"/>
  <pivotFields count="16">
    <pivotField numFmtId="169" showAll="0"/>
    <pivotField showAll="0"/>
    <pivotField showAll="0"/>
    <pivotField showAll="0"/>
    <pivotField showAll="0"/>
    <pivotField showAll="0"/>
    <pivotField axis="axisRow" showAll="0">
      <items count="3">
        <item x="1"/>
        <item x="0"/>
        <item t="default"/>
      </items>
    </pivotField>
    <pivotField showAll="0"/>
    <pivotField numFmtId="164" showAll="0"/>
    <pivotField numFmtId="164" showAll="0"/>
    <pivotField numFmtId="164" showAll="0"/>
    <pivotField numFmtId="3" showAll="0"/>
    <pivotField numFmtId="3" showAll="0"/>
    <pivotField dataField="1" numFmtId="3" showAll="0"/>
    <pivotField numFmtId="166" showAll="0"/>
    <pivotField dataField="1" numFmtId="167" showAll="0"/>
  </pivotFields>
  <rowFields count="1">
    <field x="6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Ukupno minuta" fld="13" baseField="0" baseItem="0"/>
    <dataField name="Sum of Naknada, ukupno" fld="15" baseField="0" baseItem="0"/>
  </dataFields>
  <formats count="6">
    <format dxfId="22">
      <pivotArea dataOnly="0" labelOnly="1" grandRow="1" outline="0" fieldPosition="0"/>
    </format>
    <format dxfId="21">
      <pivotArea type="all" dataOnly="0" outline="0" fieldPosition="0"/>
    </format>
    <format dxfId="20">
      <pivotArea outline="0" collapsedLevelsAreSubtotals="1" fieldPosition="0"/>
    </format>
    <format dxfId="19">
      <pivotArea dataOnly="0" labelOnly="1" grandRow="1" outline="0" fieldPosition="0"/>
    </format>
    <format dxfId="18">
      <pivotArea dataOnly="0" labelOnly="1" grandRow="1" outline="0" fieldPosition="0"/>
    </format>
    <format dxfId="17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C0FD886-924B-40A5-A4E8-63F3EDFC62E0}" name="PivotTable3" cacheId="9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B4:D8" firstHeaderRow="0" firstDataRow="1" firstDataCol="1"/>
  <pivotFields count="16">
    <pivotField numFmtId="169" showAll="0"/>
    <pivotField showAll="0"/>
    <pivotField showAll="0"/>
    <pivotField showAll="0"/>
    <pivotField showAll="0"/>
    <pivotField showAll="0"/>
    <pivotField showAll="0"/>
    <pivotField axis="axisRow" showAll="0">
      <items count="4">
        <item x="2"/>
        <item x="1"/>
        <item x="0"/>
        <item t="default"/>
      </items>
    </pivotField>
    <pivotField numFmtId="164" showAll="0"/>
    <pivotField numFmtId="164" showAll="0"/>
    <pivotField numFmtId="164" showAll="0"/>
    <pivotField numFmtId="3" showAll="0"/>
    <pivotField numFmtId="3" showAll="0"/>
    <pivotField dataField="1" numFmtId="3" showAll="0"/>
    <pivotField numFmtId="166" showAll="0"/>
    <pivotField dataField="1" numFmtId="167" showAll="0"/>
  </pivotFields>
  <rowFields count="1">
    <field x="7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Ukupno minuta" fld="13" baseField="0" baseItem="0"/>
    <dataField name="Sum of Naknada, ukupno" fld="15" baseField="0" baseItem="0"/>
  </dataFields>
  <formats count="7">
    <format dxfId="16">
      <pivotArea dataOnly="0" labelOnly="1" grandRow="1" outline="0" fieldPosition="0"/>
    </format>
    <format dxfId="15">
      <pivotArea type="all" dataOnly="0" outline="0" fieldPosition="0"/>
    </format>
    <format dxfId="14">
      <pivotArea outline="0" collapsedLevelsAreSubtotals="1" fieldPosition="0"/>
    </format>
    <format dxfId="13">
      <pivotArea dataOnly="0" labelOnly="1" grandRow="1" outline="0" fieldPosition="0"/>
    </format>
    <format dxfId="12">
      <pivotArea dataOnly="0" labelOnly="1" grandRow="1" outline="0" fieldPosition="0"/>
    </format>
    <format dxfId="11">
      <pivotArea outline="0" collapsedLevelsAreSubtotals="1" fieldPosition="0"/>
    </format>
    <format dxfId="10">
      <pivotArea collapsedLevelsAreSubtotals="1" fieldPosition="0">
        <references count="2">
          <reference field="4294967294" count="1" selected="0">
            <x v="1"/>
          </reference>
          <reference field="7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B0FC4-CD15-431A-B1BD-66EE30A39459}">
  <sheetPr>
    <tabColor theme="5" tint="0.39997558519241921"/>
    <pageSetUpPr fitToPage="1"/>
  </sheetPr>
  <dimension ref="A1:D18"/>
  <sheetViews>
    <sheetView showGridLines="0" tabSelected="1" zoomScale="90" zoomScaleNormal="90" workbookViewId="0">
      <selection activeCell="B4" sqref="B4"/>
    </sheetView>
  </sheetViews>
  <sheetFormatPr defaultColWidth="9.109375" defaultRowHeight="14.4" x14ac:dyDescent="0.3"/>
  <cols>
    <col min="1" max="1" width="1.88671875" style="55" customWidth="1"/>
    <col min="2" max="2" width="48.21875" style="56" customWidth="1"/>
    <col min="3" max="3" width="0.6640625" style="56" customWidth="1"/>
    <col min="4" max="4" width="148" style="57" customWidth="1"/>
    <col min="5" max="16384" width="9.109375" style="55"/>
  </cols>
  <sheetData>
    <row r="1" spans="1:4" ht="6" customHeight="1" x14ac:dyDescent="0.3">
      <c r="A1" s="55" t="s">
        <v>9</v>
      </c>
    </row>
    <row r="2" spans="1:4" ht="29.4" x14ac:dyDescent="0.3">
      <c r="B2" s="66" t="s">
        <v>10</v>
      </c>
    </row>
    <row r="3" spans="1:4" ht="3.75" customHeight="1" x14ac:dyDescent="0.3"/>
    <row r="4" spans="1:4" ht="21" customHeight="1" x14ac:dyDescent="0.3">
      <c r="B4" s="58" t="s">
        <v>11</v>
      </c>
      <c r="C4" s="59"/>
      <c r="D4" s="60" t="s">
        <v>12</v>
      </c>
    </row>
    <row r="5" spans="1:4" ht="3.75" customHeight="1" x14ac:dyDescent="0.3">
      <c r="B5" s="61"/>
      <c r="C5" s="59"/>
      <c r="D5" s="62"/>
    </row>
    <row r="6" spans="1:4" ht="21" customHeight="1" x14ac:dyDescent="0.3">
      <c r="B6" s="58" t="s">
        <v>13</v>
      </c>
      <c r="C6" s="59"/>
      <c r="D6" s="60" t="s">
        <v>14</v>
      </c>
    </row>
    <row r="7" spans="1:4" ht="3.75" customHeight="1" x14ac:dyDescent="0.3">
      <c r="B7" s="61"/>
      <c r="C7" s="59"/>
      <c r="D7" s="62"/>
    </row>
    <row r="8" spans="1:4" ht="21" customHeight="1" x14ac:dyDescent="0.3">
      <c r="B8" s="58" t="s">
        <v>15</v>
      </c>
      <c r="C8" s="59"/>
      <c r="D8" s="60" t="s">
        <v>16</v>
      </c>
    </row>
    <row r="9" spans="1:4" ht="3.75" customHeight="1" x14ac:dyDescent="0.3">
      <c r="B9" s="61"/>
      <c r="C9" s="59"/>
      <c r="D9" s="62"/>
    </row>
    <row r="10" spans="1:4" ht="21" customHeight="1" x14ac:dyDescent="0.3">
      <c r="B10" s="58" t="s">
        <v>17</v>
      </c>
      <c r="C10" s="59"/>
      <c r="D10" s="60" t="s">
        <v>22</v>
      </c>
    </row>
    <row r="11" spans="1:4" ht="3.75" customHeight="1" x14ac:dyDescent="0.3">
      <c r="B11" s="61"/>
      <c r="C11" s="59"/>
      <c r="D11" s="62"/>
    </row>
    <row r="12" spans="1:4" ht="21" customHeight="1" x14ac:dyDescent="0.3">
      <c r="B12" s="58" t="s">
        <v>18</v>
      </c>
      <c r="C12" s="59"/>
      <c r="D12" s="60" t="s">
        <v>23</v>
      </c>
    </row>
    <row r="13" spans="1:4" ht="3.75" customHeight="1" x14ac:dyDescent="0.3">
      <c r="B13" s="61"/>
      <c r="C13" s="59"/>
      <c r="D13" s="62"/>
    </row>
    <row r="14" spans="1:4" ht="21" customHeight="1" x14ac:dyDescent="0.3">
      <c r="B14" s="58" t="s">
        <v>19</v>
      </c>
      <c r="C14" s="59"/>
      <c r="D14" s="60" t="s">
        <v>64</v>
      </c>
    </row>
    <row r="15" spans="1:4" ht="3.75" customHeight="1" x14ac:dyDescent="0.3">
      <c r="B15" s="61"/>
      <c r="C15" s="59"/>
      <c r="D15" s="62"/>
    </row>
    <row r="16" spans="1:4" ht="21" customHeight="1" x14ac:dyDescent="0.3">
      <c r="B16" s="58" t="s">
        <v>20</v>
      </c>
      <c r="C16" s="59"/>
      <c r="D16" s="60" t="s">
        <v>21</v>
      </c>
    </row>
    <row r="17" spans="2:4" ht="3.75" customHeight="1" x14ac:dyDescent="0.3">
      <c r="B17" s="61"/>
      <c r="C17" s="59"/>
      <c r="D17" s="62"/>
    </row>
    <row r="18" spans="2:4" ht="21" customHeight="1" x14ac:dyDescent="0.3">
      <c r="B18" s="58" t="s">
        <v>24</v>
      </c>
      <c r="C18" s="59"/>
      <c r="D18" s="63" t="s">
        <v>25</v>
      </c>
    </row>
  </sheetData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&amp;L&amp;"Arial Narrow,Regular"&amp;9© Naša mreža &amp; Igor Lazarević 2023, igor.lazarevic.77@gmail.com&amp;R&amp;"Arial Narrow,Regular"&amp;P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D1E6E-E4B5-4B4C-8E4C-A8D536857705}">
  <sheetPr>
    <tabColor rgb="FFCCFF66"/>
    <pageSetUpPr fitToPage="1"/>
  </sheetPr>
  <dimension ref="B2:Q35"/>
  <sheetViews>
    <sheetView showGridLines="0" zoomScale="70" zoomScaleNormal="70" workbookViewId="0">
      <pane ySplit="4" topLeftCell="A5" activePane="bottomLeft" state="frozen"/>
      <selection pane="bottomLeft" activeCell="B4" sqref="B4"/>
    </sheetView>
  </sheetViews>
  <sheetFormatPr defaultColWidth="9.109375" defaultRowHeight="15.6" x14ac:dyDescent="0.3"/>
  <cols>
    <col min="1" max="1" width="3.44140625" style="5" customWidth="1"/>
    <col min="2" max="2" width="24.88671875" style="6" customWidth="1"/>
    <col min="3" max="3" width="10.109375" style="6" customWidth="1"/>
    <col min="4" max="4" width="15.6640625" style="6" customWidth="1"/>
    <col min="5" max="5" width="15.88671875" style="6" customWidth="1"/>
    <col min="6" max="6" width="47" style="6" customWidth="1"/>
    <col min="7" max="7" width="17" style="6" customWidth="1"/>
    <col min="8" max="8" width="19.88671875" style="6" customWidth="1"/>
    <col min="9" max="9" width="15.77734375" style="6" customWidth="1"/>
    <col min="10" max="11" width="16.109375" style="7" customWidth="1"/>
    <col min="12" max="12" width="12.33203125" style="8" customWidth="1"/>
    <col min="13" max="14" width="11.21875" style="9" customWidth="1"/>
    <col min="15" max="15" width="18" style="9" customWidth="1"/>
    <col min="16" max="16" width="19.77734375" style="10" customWidth="1"/>
    <col min="17" max="17" width="19.77734375" style="11" customWidth="1"/>
    <col min="18" max="16384" width="9.109375" style="5"/>
  </cols>
  <sheetData>
    <row r="2" spans="2:17" ht="27" x14ac:dyDescent="0.3">
      <c r="B2" s="44" t="s">
        <v>26</v>
      </c>
    </row>
    <row r="3" spans="2:17" ht="4.8" customHeight="1" x14ac:dyDescent="0.3"/>
    <row r="4" spans="2:17" s="12" customFormat="1" x14ac:dyDescent="0.3">
      <c r="B4" s="13" t="s">
        <v>0</v>
      </c>
      <c r="C4" s="13" t="s">
        <v>1</v>
      </c>
      <c r="D4" s="13" t="s">
        <v>2</v>
      </c>
      <c r="E4" s="13" t="s">
        <v>3</v>
      </c>
      <c r="F4" s="13" t="s">
        <v>27</v>
      </c>
      <c r="G4" s="13" t="s">
        <v>28</v>
      </c>
      <c r="H4" s="13" t="s">
        <v>29</v>
      </c>
      <c r="I4" s="13" t="s">
        <v>30</v>
      </c>
      <c r="J4" s="14" t="s">
        <v>31</v>
      </c>
      <c r="K4" s="14" t="s">
        <v>32</v>
      </c>
      <c r="L4" s="15" t="s">
        <v>33</v>
      </c>
      <c r="M4" s="16" t="s">
        <v>34</v>
      </c>
      <c r="N4" s="16" t="s">
        <v>35</v>
      </c>
      <c r="O4" s="16" t="s">
        <v>36</v>
      </c>
      <c r="P4" s="17" t="s">
        <v>37</v>
      </c>
      <c r="Q4" s="18" t="s">
        <v>38</v>
      </c>
    </row>
    <row r="5" spans="2:17" x14ac:dyDescent="0.3">
      <c r="B5" s="64">
        <v>45201</v>
      </c>
      <c r="C5" s="19" t="str">
        <f t="shared" ref="C5" si="0">TEXT(B5,"yyyy")</f>
        <v>2023</v>
      </c>
      <c r="D5" s="19" t="str">
        <f>IF(MONTH(B5)=1,"Januar",IF(MONTH(B5)=2,"Februar",IF(MONTH(B5)=3,"Mart",IF(MONTH(B5)=4,"April",IF(MONTH(B5)=5,"Maj",IF(MONTH(B5)=6,"Jun",IF(MONTH(B5)=7,"Jul",IF(MONTH(B5)=8,"Avgust",IF(MONTH(B5)=9,"Septembar",IF(MONTH(B5)=10,"Oktobar",IF(MONTH(B5)=11,"Novembar",IF(MONTH(B5)=12,"Decembar"))))))))))))</f>
        <v>Oktobar</v>
      </c>
      <c r="E5" s="19" t="str">
        <f>IF(WEEKDAY(B5,2)=1,"Ponedeljak",IF(WEEKDAY(B5,2)=2,"Utorak",IF(WEEKDAY(B5,2)=3,"Sreda",IF(WEEKDAY(B5,2)=4,"Četvrtak",IF(WEEKDAY(B5,2)=5,"Petak",IF(WEEKDAY(B5,2)=6,"Subota",IF(WEEKDAY(B5,2)=7,"Nedelja")))))))</f>
        <v>Ponedeljak</v>
      </c>
      <c r="F5" s="20" t="s">
        <v>39</v>
      </c>
      <c r="G5" s="20" t="s">
        <v>4</v>
      </c>
      <c r="H5" s="20" t="s">
        <v>46</v>
      </c>
      <c r="I5" s="20" t="s">
        <v>48</v>
      </c>
      <c r="J5" s="21">
        <v>0.4236111111111111</v>
      </c>
      <c r="K5" s="21">
        <v>0.51527777777777783</v>
      </c>
      <c r="L5" s="22">
        <f t="shared" ref="L5" si="1">K5-J5</f>
        <v>9.166666666666673E-2</v>
      </c>
      <c r="M5" s="23">
        <f t="shared" ref="M5" si="2">HOUR(L5)</f>
        <v>2</v>
      </c>
      <c r="N5" s="23">
        <f t="shared" ref="N5" si="3">MINUTE(L5)</f>
        <v>12</v>
      </c>
      <c r="O5" s="23">
        <f t="shared" ref="O5" si="4">M5*60+N5</f>
        <v>132</v>
      </c>
      <c r="P5" s="24">
        <v>30</v>
      </c>
      <c r="Q5" s="25">
        <f t="shared" ref="Q5" si="5">(P5/60)*O5</f>
        <v>66</v>
      </c>
    </row>
    <row r="6" spans="2:17" x14ac:dyDescent="0.3">
      <c r="B6" s="64">
        <v>45201</v>
      </c>
      <c r="C6" s="19" t="str">
        <f t="shared" ref="C6:C21" si="6">TEXT(B6,"yyyy")</f>
        <v>2023</v>
      </c>
      <c r="D6" s="19" t="str">
        <f t="shared" ref="D6:D21" si="7">IF(MONTH(B6)=1,"Januar",IF(MONTH(B6)=2,"Februar",IF(MONTH(B6)=3,"Mart",IF(MONTH(B6)=4,"April",IF(MONTH(B6)=5,"Maj",IF(MONTH(B6)=6,"Jun",IF(MONTH(B6)=7,"Jul",IF(MONTH(B6)=8,"Avgust",IF(MONTH(B6)=9,"Septembar",IF(MONTH(B6)=10,"Oktobar",IF(MONTH(B6)=11,"Novembar",IF(MONTH(B6)=12,"Decembar"))))))))))))</f>
        <v>Oktobar</v>
      </c>
      <c r="E6" s="19" t="str">
        <f t="shared" ref="E6:E21" si="8">IF(WEEKDAY(B6,2)=1,"Ponedeljak",IF(WEEKDAY(B6,2)=2,"Utorak",IF(WEEKDAY(B6,2)=3,"Sreda",IF(WEEKDAY(B6,2)=4,"Četvrtak",IF(WEEKDAY(B6,2)=5,"Petak",IF(WEEKDAY(B6,2)=6,"Subota",IF(WEEKDAY(B6,2)=7,"Nedelja")))))))</f>
        <v>Ponedeljak</v>
      </c>
      <c r="F6" s="20" t="s">
        <v>39</v>
      </c>
      <c r="G6" s="20" t="s">
        <v>4</v>
      </c>
      <c r="H6" s="20" t="s">
        <v>46</v>
      </c>
      <c r="I6" s="20" t="s">
        <v>48</v>
      </c>
      <c r="J6" s="21">
        <v>0.55208333333333337</v>
      </c>
      <c r="K6" s="21">
        <v>0.62291666666666667</v>
      </c>
      <c r="L6" s="22">
        <f t="shared" ref="L6:L21" si="9">K6-J6</f>
        <v>7.0833333333333304E-2</v>
      </c>
      <c r="M6" s="23">
        <f t="shared" ref="M6:M21" si="10">HOUR(L6)</f>
        <v>1</v>
      </c>
      <c r="N6" s="23">
        <f t="shared" ref="N6:N21" si="11">MINUTE(L6)</f>
        <v>42</v>
      </c>
      <c r="O6" s="23">
        <f t="shared" ref="O6:O21" si="12">M6*60+N6</f>
        <v>102</v>
      </c>
      <c r="P6" s="24">
        <v>30</v>
      </c>
      <c r="Q6" s="25">
        <f t="shared" ref="Q6:Q24" si="13">(P6/60)*O6</f>
        <v>51</v>
      </c>
    </row>
    <row r="7" spans="2:17" x14ac:dyDescent="0.3">
      <c r="B7" s="64">
        <v>45201</v>
      </c>
      <c r="C7" s="19" t="str">
        <f t="shared" si="6"/>
        <v>2023</v>
      </c>
      <c r="D7" s="19" t="str">
        <f t="shared" si="7"/>
        <v>Oktobar</v>
      </c>
      <c r="E7" s="19" t="str">
        <f t="shared" si="8"/>
        <v>Ponedeljak</v>
      </c>
      <c r="F7" s="20" t="s">
        <v>39</v>
      </c>
      <c r="G7" s="20" t="s">
        <v>4</v>
      </c>
      <c r="H7" s="20" t="s">
        <v>46</v>
      </c>
      <c r="I7" s="20" t="s">
        <v>48</v>
      </c>
      <c r="J7" s="21">
        <v>0.66666666666666663</v>
      </c>
      <c r="K7" s="21">
        <v>0.8027777777777777</v>
      </c>
      <c r="L7" s="22">
        <f t="shared" si="9"/>
        <v>0.13611111111111107</v>
      </c>
      <c r="M7" s="23">
        <f t="shared" si="10"/>
        <v>3</v>
      </c>
      <c r="N7" s="23">
        <f t="shared" si="11"/>
        <v>16</v>
      </c>
      <c r="O7" s="23">
        <f t="shared" si="12"/>
        <v>196</v>
      </c>
      <c r="P7" s="24">
        <v>30</v>
      </c>
      <c r="Q7" s="25">
        <f t="shared" si="13"/>
        <v>98</v>
      </c>
    </row>
    <row r="8" spans="2:17" x14ac:dyDescent="0.3">
      <c r="B8" s="64">
        <v>45213</v>
      </c>
      <c r="C8" s="19" t="str">
        <f t="shared" si="6"/>
        <v>2023</v>
      </c>
      <c r="D8" s="19" t="str">
        <f t="shared" si="7"/>
        <v>Oktobar</v>
      </c>
      <c r="E8" s="19" t="str">
        <f t="shared" si="8"/>
        <v>Subota</v>
      </c>
      <c r="F8" s="20" t="s">
        <v>40</v>
      </c>
      <c r="G8" s="20" t="s">
        <v>5</v>
      </c>
      <c r="H8" s="20" t="s">
        <v>47</v>
      </c>
      <c r="I8" s="20" t="s">
        <v>49</v>
      </c>
      <c r="J8" s="21">
        <v>0.45833333333333331</v>
      </c>
      <c r="K8" s="21">
        <v>0.57291666666666663</v>
      </c>
      <c r="L8" s="22">
        <f t="shared" si="9"/>
        <v>0.11458333333333331</v>
      </c>
      <c r="M8" s="23">
        <f t="shared" si="10"/>
        <v>2</v>
      </c>
      <c r="N8" s="23">
        <f t="shared" si="11"/>
        <v>45</v>
      </c>
      <c r="O8" s="23">
        <f t="shared" si="12"/>
        <v>165</v>
      </c>
      <c r="P8" s="24">
        <v>40</v>
      </c>
      <c r="Q8" s="25">
        <f t="shared" si="13"/>
        <v>110</v>
      </c>
    </row>
    <row r="9" spans="2:17" x14ac:dyDescent="0.3">
      <c r="B9" s="64">
        <v>45213</v>
      </c>
      <c r="C9" s="19" t="str">
        <f t="shared" si="6"/>
        <v>2023</v>
      </c>
      <c r="D9" s="19" t="str">
        <f t="shared" si="7"/>
        <v>Oktobar</v>
      </c>
      <c r="E9" s="19" t="str">
        <f t="shared" si="8"/>
        <v>Subota</v>
      </c>
      <c r="F9" s="20" t="s">
        <v>40</v>
      </c>
      <c r="G9" s="20" t="s">
        <v>5</v>
      </c>
      <c r="H9" s="20" t="s">
        <v>47</v>
      </c>
      <c r="I9" s="20" t="s">
        <v>49</v>
      </c>
      <c r="J9" s="21">
        <v>0.625</v>
      </c>
      <c r="K9" s="21">
        <v>0.7729166666666667</v>
      </c>
      <c r="L9" s="22">
        <f t="shared" si="9"/>
        <v>0.1479166666666667</v>
      </c>
      <c r="M9" s="23">
        <f t="shared" si="10"/>
        <v>3</v>
      </c>
      <c r="N9" s="23">
        <f t="shared" si="11"/>
        <v>33</v>
      </c>
      <c r="O9" s="23">
        <f t="shared" si="12"/>
        <v>213</v>
      </c>
      <c r="P9" s="24">
        <v>40</v>
      </c>
      <c r="Q9" s="25">
        <f t="shared" si="13"/>
        <v>142</v>
      </c>
    </row>
    <row r="10" spans="2:17" x14ac:dyDescent="0.3">
      <c r="B10" s="64">
        <v>45236</v>
      </c>
      <c r="C10" s="19" t="str">
        <f t="shared" si="6"/>
        <v>2023</v>
      </c>
      <c r="D10" s="19" t="str">
        <f t="shared" si="7"/>
        <v>Novembar</v>
      </c>
      <c r="E10" s="19" t="str">
        <f t="shared" si="8"/>
        <v>Ponedeljak</v>
      </c>
      <c r="F10" s="20" t="s">
        <v>41</v>
      </c>
      <c r="G10" s="20" t="s">
        <v>6</v>
      </c>
      <c r="H10" s="20" t="s">
        <v>46</v>
      </c>
      <c r="I10" s="20" t="s">
        <v>48</v>
      </c>
      <c r="J10" s="21">
        <v>0.4375</v>
      </c>
      <c r="K10" s="21">
        <v>0.5444444444444444</v>
      </c>
      <c r="L10" s="22">
        <f t="shared" si="9"/>
        <v>0.1069444444444444</v>
      </c>
      <c r="M10" s="23">
        <f t="shared" si="10"/>
        <v>2</v>
      </c>
      <c r="N10" s="23">
        <f t="shared" si="11"/>
        <v>34</v>
      </c>
      <c r="O10" s="23">
        <f t="shared" si="12"/>
        <v>154</v>
      </c>
      <c r="P10" s="24">
        <v>25</v>
      </c>
      <c r="Q10" s="25">
        <f t="shared" si="13"/>
        <v>64.166666666666671</v>
      </c>
    </row>
    <row r="11" spans="2:17" x14ac:dyDescent="0.3">
      <c r="B11" s="64">
        <v>45236</v>
      </c>
      <c r="C11" s="19" t="str">
        <f t="shared" si="6"/>
        <v>2023</v>
      </c>
      <c r="D11" s="19" t="str">
        <f t="shared" si="7"/>
        <v>Novembar</v>
      </c>
      <c r="E11" s="19" t="str">
        <f t="shared" si="8"/>
        <v>Ponedeljak</v>
      </c>
      <c r="F11" s="20" t="s">
        <v>41</v>
      </c>
      <c r="G11" s="20" t="s">
        <v>6</v>
      </c>
      <c r="H11" s="20" t="s">
        <v>46</v>
      </c>
      <c r="I11" s="20" t="s">
        <v>48</v>
      </c>
      <c r="J11" s="21">
        <v>0.625</v>
      </c>
      <c r="K11" s="21">
        <v>0.80138888888888893</v>
      </c>
      <c r="L11" s="22">
        <f t="shared" si="9"/>
        <v>0.17638888888888893</v>
      </c>
      <c r="M11" s="23">
        <f t="shared" si="10"/>
        <v>4</v>
      </c>
      <c r="N11" s="23">
        <f t="shared" si="11"/>
        <v>14</v>
      </c>
      <c r="O11" s="23">
        <f t="shared" si="12"/>
        <v>254</v>
      </c>
      <c r="P11" s="24">
        <v>25</v>
      </c>
      <c r="Q11" s="25">
        <f t="shared" si="13"/>
        <v>105.83333333333334</v>
      </c>
    </row>
    <row r="12" spans="2:17" x14ac:dyDescent="0.3">
      <c r="B12" s="64">
        <v>45239</v>
      </c>
      <c r="C12" s="19" t="str">
        <f t="shared" si="6"/>
        <v>2023</v>
      </c>
      <c r="D12" s="19" t="str">
        <f t="shared" si="7"/>
        <v>Novembar</v>
      </c>
      <c r="E12" s="19" t="str">
        <f t="shared" si="8"/>
        <v>Četvrtak</v>
      </c>
      <c r="F12" s="20" t="s">
        <v>41</v>
      </c>
      <c r="G12" s="20" t="s">
        <v>6</v>
      </c>
      <c r="H12" s="20" t="s">
        <v>46</v>
      </c>
      <c r="I12" s="20" t="s">
        <v>48</v>
      </c>
      <c r="J12" s="21">
        <v>0.40625</v>
      </c>
      <c r="K12" s="21">
        <v>0.48680555555555555</v>
      </c>
      <c r="L12" s="22">
        <f t="shared" si="9"/>
        <v>8.0555555555555547E-2</v>
      </c>
      <c r="M12" s="23">
        <f t="shared" si="10"/>
        <v>1</v>
      </c>
      <c r="N12" s="23">
        <f t="shared" si="11"/>
        <v>56</v>
      </c>
      <c r="O12" s="23">
        <f t="shared" si="12"/>
        <v>116</v>
      </c>
      <c r="P12" s="24">
        <v>25</v>
      </c>
      <c r="Q12" s="25">
        <f t="shared" si="13"/>
        <v>48.333333333333336</v>
      </c>
    </row>
    <row r="13" spans="2:17" x14ac:dyDescent="0.3">
      <c r="B13" s="64">
        <v>45239</v>
      </c>
      <c r="C13" s="19" t="str">
        <f t="shared" si="6"/>
        <v>2023</v>
      </c>
      <c r="D13" s="19" t="str">
        <f t="shared" si="7"/>
        <v>Novembar</v>
      </c>
      <c r="E13" s="19" t="str">
        <f t="shared" si="8"/>
        <v>Četvrtak</v>
      </c>
      <c r="F13" s="20" t="s">
        <v>41</v>
      </c>
      <c r="G13" s="20" t="s">
        <v>6</v>
      </c>
      <c r="H13" s="20" t="s">
        <v>46</v>
      </c>
      <c r="I13" s="20" t="s">
        <v>48</v>
      </c>
      <c r="J13" s="21">
        <v>0.52083333333333337</v>
      </c>
      <c r="K13" s="21">
        <v>0.67013888888888884</v>
      </c>
      <c r="L13" s="22">
        <f t="shared" si="9"/>
        <v>0.14930555555555547</v>
      </c>
      <c r="M13" s="23">
        <f t="shared" si="10"/>
        <v>3</v>
      </c>
      <c r="N13" s="23">
        <f t="shared" si="11"/>
        <v>35</v>
      </c>
      <c r="O13" s="23">
        <f t="shared" si="12"/>
        <v>215</v>
      </c>
      <c r="P13" s="24">
        <v>25</v>
      </c>
      <c r="Q13" s="25">
        <f t="shared" si="13"/>
        <v>89.583333333333343</v>
      </c>
    </row>
    <row r="14" spans="2:17" x14ac:dyDescent="0.3">
      <c r="B14" s="64">
        <v>45247</v>
      </c>
      <c r="C14" s="19" t="str">
        <f t="shared" si="6"/>
        <v>2023</v>
      </c>
      <c r="D14" s="19" t="str">
        <f t="shared" si="7"/>
        <v>Novembar</v>
      </c>
      <c r="E14" s="19" t="str">
        <f t="shared" si="8"/>
        <v>Petak</v>
      </c>
      <c r="F14" s="20" t="s">
        <v>42</v>
      </c>
      <c r="G14" s="20" t="s">
        <v>6</v>
      </c>
      <c r="H14" s="20" t="s">
        <v>46</v>
      </c>
      <c r="I14" s="20" t="s">
        <v>50</v>
      </c>
      <c r="J14" s="21">
        <v>0.59375</v>
      </c>
      <c r="K14" s="21">
        <v>0.67361111111111116</v>
      </c>
      <c r="L14" s="22">
        <f t="shared" si="9"/>
        <v>7.986111111111116E-2</v>
      </c>
      <c r="M14" s="23">
        <f t="shared" si="10"/>
        <v>1</v>
      </c>
      <c r="N14" s="23">
        <f t="shared" si="11"/>
        <v>55</v>
      </c>
      <c r="O14" s="23">
        <f t="shared" si="12"/>
        <v>115</v>
      </c>
      <c r="P14" s="24">
        <v>25</v>
      </c>
      <c r="Q14" s="25">
        <f t="shared" si="13"/>
        <v>47.916666666666671</v>
      </c>
    </row>
    <row r="15" spans="2:17" x14ac:dyDescent="0.3">
      <c r="B15" s="64">
        <v>45247</v>
      </c>
      <c r="C15" s="19" t="str">
        <f t="shared" si="6"/>
        <v>2023</v>
      </c>
      <c r="D15" s="19" t="str">
        <f t="shared" si="7"/>
        <v>Novembar</v>
      </c>
      <c r="E15" s="19" t="str">
        <f t="shared" si="8"/>
        <v>Petak</v>
      </c>
      <c r="F15" s="20" t="s">
        <v>42</v>
      </c>
      <c r="G15" s="20" t="s">
        <v>6</v>
      </c>
      <c r="H15" s="20" t="s">
        <v>46</v>
      </c>
      <c r="I15" s="20" t="s">
        <v>50</v>
      </c>
      <c r="J15" s="21">
        <v>0.70833333333333337</v>
      </c>
      <c r="K15" s="21">
        <v>0.7944444444444444</v>
      </c>
      <c r="L15" s="22">
        <f t="shared" si="9"/>
        <v>8.6111111111111027E-2</v>
      </c>
      <c r="M15" s="23">
        <f t="shared" si="10"/>
        <v>2</v>
      </c>
      <c r="N15" s="23">
        <f t="shared" si="11"/>
        <v>4</v>
      </c>
      <c r="O15" s="23">
        <f t="shared" si="12"/>
        <v>124</v>
      </c>
      <c r="P15" s="24">
        <v>25</v>
      </c>
      <c r="Q15" s="25">
        <f t="shared" si="13"/>
        <v>51.666666666666671</v>
      </c>
    </row>
    <row r="16" spans="2:17" x14ac:dyDescent="0.3">
      <c r="B16" s="64">
        <v>45270</v>
      </c>
      <c r="C16" s="19" t="str">
        <f t="shared" si="6"/>
        <v>2023</v>
      </c>
      <c r="D16" s="19" t="str">
        <f t="shared" si="7"/>
        <v>Decembar</v>
      </c>
      <c r="E16" s="19" t="str">
        <f t="shared" si="8"/>
        <v>Nedelja</v>
      </c>
      <c r="F16" s="20" t="s">
        <v>43</v>
      </c>
      <c r="G16" s="20" t="s">
        <v>5</v>
      </c>
      <c r="H16" s="20" t="s">
        <v>47</v>
      </c>
      <c r="I16" s="20" t="s">
        <v>48</v>
      </c>
      <c r="J16" s="21">
        <v>0.41666666666666669</v>
      </c>
      <c r="K16" s="21">
        <v>0.5625</v>
      </c>
      <c r="L16" s="22">
        <f t="shared" si="9"/>
        <v>0.14583333333333331</v>
      </c>
      <c r="M16" s="23">
        <f t="shared" si="10"/>
        <v>3</v>
      </c>
      <c r="N16" s="23">
        <f t="shared" si="11"/>
        <v>30</v>
      </c>
      <c r="O16" s="23">
        <f t="shared" si="12"/>
        <v>210</v>
      </c>
      <c r="P16" s="24">
        <v>45</v>
      </c>
      <c r="Q16" s="25">
        <f t="shared" si="13"/>
        <v>157.5</v>
      </c>
    </row>
    <row r="17" spans="2:17" x14ac:dyDescent="0.3">
      <c r="B17" s="64">
        <v>45270</v>
      </c>
      <c r="C17" s="19" t="str">
        <f t="shared" si="6"/>
        <v>2023</v>
      </c>
      <c r="D17" s="19" t="str">
        <f t="shared" si="7"/>
        <v>Decembar</v>
      </c>
      <c r="E17" s="19" t="str">
        <f t="shared" si="8"/>
        <v>Nedelja</v>
      </c>
      <c r="F17" s="20" t="s">
        <v>43</v>
      </c>
      <c r="G17" s="20" t="s">
        <v>5</v>
      </c>
      <c r="H17" s="20" t="s">
        <v>47</v>
      </c>
      <c r="I17" s="20" t="s">
        <v>48</v>
      </c>
      <c r="J17" s="21">
        <v>0.625</v>
      </c>
      <c r="K17" s="21">
        <v>0.77083333333333337</v>
      </c>
      <c r="L17" s="22">
        <f t="shared" si="9"/>
        <v>0.14583333333333337</v>
      </c>
      <c r="M17" s="23">
        <f t="shared" si="10"/>
        <v>3</v>
      </c>
      <c r="N17" s="23">
        <f t="shared" si="11"/>
        <v>30</v>
      </c>
      <c r="O17" s="23">
        <f t="shared" si="12"/>
        <v>210</v>
      </c>
      <c r="P17" s="24">
        <v>45</v>
      </c>
      <c r="Q17" s="25">
        <f t="shared" si="13"/>
        <v>157.5</v>
      </c>
    </row>
    <row r="18" spans="2:17" x14ac:dyDescent="0.3">
      <c r="B18" s="64">
        <v>45272</v>
      </c>
      <c r="C18" s="19" t="str">
        <f t="shared" si="6"/>
        <v>2023</v>
      </c>
      <c r="D18" s="19" t="str">
        <f t="shared" si="7"/>
        <v>Decembar</v>
      </c>
      <c r="E18" s="19" t="str">
        <f t="shared" si="8"/>
        <v>Utorak</v>
      </c>
      <c r="F18" s="20" t="s">
        <v>44</v>
      </c>
      <c r="G18" s="20" t="s">
        <v>6</v>
      </c>
      <c r="H18" s="20" t="s">
        <v>46</v>
      </c>
      <c r="I18" s="20" t="s">
        <v>49</v>
      </c>
      <c r="J18" s="21">
        <v>0.375</v>
      </c>
      <c r="K18" s="21">
        <v>0.50763888888888886</v>
      </c>
      <c r="L18" s="22">
        <f t="shared" si="9"/>
        <v>0.13263888888888886</v>
      </c>
      <c r="M18" s="23">
        <f t="shared" si="10"/>
        <v>3</v>
      </c>
      <c r="N18" s="23">
        <f t="shared" si="11"/>
        <v>11</v>
      </c>
      <c r="O18" s="23">
        <f t="shared" si="12"/>
        <v>191</v>
      </c>
      <c r="P18" s="24">
        <v>30</v>
      </c>
      <c r="Q18" s="25">
        <f t="shared" si="13"/>
        <v>95.5</v>
      </c>
    </row>
    <row r="19" spans="2:17" x14ac:dyDescent="0.3">
      <c r="B19" s="64">
        <v>45272</v>
      </c>
      <c r="C19" s="19" t="str">
        <f t="shared" si="6"/>
        <v>2023</v>
      </c>
      <c r="D19" s="19" t="str">
        <f t="shared" si="7"/>
        <v>Decembar</v>
      </c>
      <c r="E19" s="19" t="str">
        <f t="shared" si="8"/>
        <v>Utorak</v>
      </c>
      <c r="F19" s="20" t="s">
        <v>44</v>
      </c>
      <c r="G19" s="20" t="s">
        <v>6</v>
      </c>
      <c r="H19" s="20" t="s">
        <v>46</v>
      </c>
      <c r="I19" s="20" t="s">
        <v>49</v>
      </c>
      <c r="J19" s="21">
        <v>0.60416666666666663</v>
      </c>
      <c r="K19" s="21">
        <v>0.72430555555555554</v>
      </c>
      <c r="L19" s="22">
        <f t="shared" si="9"/>
        <v>0.12013888888888891</v>
      </c>
      <c r="M19" s="23">
        <f t="shared" si="10"/>
        <v>2</v>
      </c>
      <c r="N19" s="23">
        <f t="shared" si="11"/>
        <v>53</v>
      </c>
      <c r="O19" s="23">
        <f t="shared" si="12"/>
        <v>173</v>
      </c>
      <c r="P19" s="24">
        <v>30</v>
      </c>
      <c r="Q19" s="25">
        <f t="shared" si="13"/>
        <v>86.5</v>
      </c>
    </row>
    <row r="20" spans="2:17" x14ac:dyDescent="0.3">
      <c r="B20" s="64">
        <v>45275</v>
      </c>
      <c r="C20" s="19" t="str">
        <f t="shared" si="6"/>
        <v>2023</v>
      </c>
      <c r="D20" s="19" t="str">
        <f t="shared" si="7"/>
        <v>Decembar</v>
      </c>
      <c r="E20" s="19" t="str">
        <f t="shared" si="8"/>
        <v>Petak</v>
      </c>
      <c r="F20" s="20" t="s">
        <v>45</v>
      </c>
      <c r="G20" s="20" t="s">
        <v>4</v>
      </c>
      <c r="H20" s="20" t="s">
        <v>46</v>
      </c>
      <c r="I20" s="20" t="s">
        <v>49</v>
      </c>
      <c r="J20" s="21">
        <v>0.3611111111111111</v>
      </c>
      <c r="K20" s="21">
        <v>0.46319444444444446</v>
      </c>
      <c r="L20" s="22">
        <f t="shared" si="9"/>
        <v>0.10208333333333336</v>
      </c>
      <c r="M20" s="23">
        <f t="shared" si="10"/>
        <v>2</v>
      </c>
      <c r="N20" s="23">
        <f t="shared" si="11"/>
        <v>27</v>
      </c>
      <c r="O20" s="23">
        <f t="shared" si="12"/>
        <v>147</v>
      </c>
      <c r="P20" s="24">
        <v>30</v>
      </c>
      <c r="Q20" s="25">
        <f t="shared" si="13"/>
        <v>73.5</v>
      </c>
    </row>
    <row r="21" spans="2:17" x14ac:dyDescent="0.3">
      <c r="B21" s="64">
        <v>45275</v>
      </c>
      <c r="C21" s="19" t="str">
        <f t="shared" si="6"/>
        <v>2023</v>
      </c>
      <c r="D21" s="19" t="str">
        <f t="shared" si="7"/>
        <v>Decembar</v>
      </c>
      <c r="E21" s="19" t="str">
        <f t="shared" si="8"/>
        <v>Petak</v>
      </c>
      <c r="F21" s="20" t="s">
        <v>45</v>
      </c>
      <c r="G21" s="20" t="s">
        <v>4</v>
      </c>
      <c r="H21" s="20" t="s">
        <v>46</v>
      </c>
      <c r="I21" s="20" t="s">
        <v>49</v>
      </c>
      <c r="J21" s="21">
        <v>0.5</v>
      </c>
      <c r="K21" s="21">
        <v>0.59583333333333333</v>
      </c>
      <c r="L21" s="22">
        <f t="shared" si="9"/>
        <v>9.5833333333333326E-2</v>
      </c>
      <c r="M21" s="23">
        <f t="shared" si="10"/>
        <v>2</v>
      </c>
      <c r="N21" s="23">
        <f t="shared" si="11"/>
        <v>18</v>
      </c>
      <c r="O21" s="23">
        <f t="shared" si="12"/>
        <v>138</v>
      </c>
      <c r="P21" s="24">
        <v>30</v>
      </c>
      <c r="Q21" s="25">
        <f t="shared" si="13"/>
        <v>69</v>
      </c>
    </row>
    <row r="22" spans="2:17" x14ac:dyDescent="0.3">
      <c r="B22" s="64"/>
      <c r="C22" s="19" t="str">
        <f t="shared" ref="C22:C24" si="14">TEXT(B22,"yyyy")</f>
        <v>1900</v>
      </c>
      <c r="D22" s="19" t="str">
        <f t="shared" ref="D22:D24" si="15">IF(MONTH(B22)=1,"Januar",IF(MONTH(B22)=2,"Februar",IF(MONTH(B22)=3,"Mart",IF(MONTH(B22)=4,"April",IF(MONTH(B22)=5,"Maj",IF(MONTH(B22)=6,"Jun",IF(MONTH(B22)=7,"Jul",IF(MONTH(B22)=8,"Avgust",IF(MONTH(B22)=9,"Septembar",IF(MONTH(B22)=10,"Oktobar",IF(MONTH(B22)=11,"Novembar",IF(MONTH(B22)=12,"Decembar"))))))))))))</f>
        <v>Januar</v>
      </c>
      <c r="E22" s="19" t="str">
        <f t="shared" ref="E22:E24" si="16">IF(WEEKDAY(B22,2)=1,"Ponedeljak",IF(WEEKDAY(B22,2)=2,"Utorak",IF(WEEKDAY(B22,2)=3,"Sreda",IF(WEEKDAY(B22,2)=4,"Četvrtak",IF(WEEKDAY(B22,2)=5,"Petak",IF(WEEKDAY(B22,2)=6,"Subota",IF(WEEKDAY(B22,2)=7,"Nedelja")))))))</f>
        <v>Subota</v>
      </c>
      <c r="F22" s="20"/>
      <c r="G22" s="20"/>
      <c r="H22" s="20"/>
      <c r="I22" s="20"/>
      <c r="J22" s="21"/>
      <c r="K22" s="21"/>
      <c r="L22" s="22">
        <f t="shared" ref="L22:L24" si="17">K22-J22</f>
        <v>0</v>
      </c>
      <c r="M22" s="23">
        <f t="shared" ref="M22:M24" si="18">HOUR(L22)</f>
        <v>0</v>
      </c>
      <c r="N22" s="23">
        <f t="shared" ref="N22:N24" si="19">MINUTE(L22)</f>
        <v>0</v>
      </c>
      <c r="O22" s="23">
        <f t="shared" ref="O22:O24" si="20">M22*60+N22</f>
        <v>0</v>
      </c>
      <c r="P22" s="24"/>
      <c r="Q22" s="25">
        <f t="shared" si="13"/>
        <v>0</v>
      </c>
    </row>
    <row r="23" spans="2:17" x14ac:dyDescent="0.3">
      <c r="B23" s="64"/>
      <c r="C23" s="19" t="str">
        <f t="shared" si="14"/>
        <v>1900</v>
      </c>
      <c r="D23" s="19" t="str">
        <f t="shared" si="15"/>
        <v>Januar</v>
      </c>
      <c r="E23" s="19" t="str">
        <f t="shared" si="16"/>
        <v>Subota</v>
      </c>
      <c r="F23" s="20"/>
      <c r="G23" s="20"/>
      <c r="H23" s="20"/>
      <c r="I23" s="20"/>
      <c r="J23" s="21"/>
      <c r="K23" s="21"/>
      <c r="L23" s="22">
        <f t="shared" si="17"/>
        <v>0</v>
      </c>
      <c r="M23" s="23">
        <f t="shared" si="18"/>
        <v>0</v>
      </c>
      <c r="N23" s="23">
        <f t="shared" si="19"/>
        <v>0</v>
      </c>
      <c r="O23" s="23">
        <f t="shared" si="20"/>
        <v>0</v>
      </c>
      <c r="P23" s="24"/>
      <c r="Q23" s="25">
        <f t="shared" si="13"/>
        <v>0</v>
      </c>
    </row>
    <row r="24" spans="2:17" x14ac:dyDescent="0.3">
      <c r="B24" s="64"/>
      <c r="C24" s="19" t="str">
        <f t="shared" si="14"/>
        <v>1900</v>
      </c>
      <c r="D24" s="19" t="str">
        <f t="shared" si="15"/>
        <v>Januar</v>
      </c>
      <c r="E24" s="19" t="str">
        <f t="shared" si="16"/>
        <v>Subota</v>
      </c>
      <c r="F24" s="20"/>
      <c r="G24" s="20"/>
      <c r="H24" s="20"/>
      <c r="I24" s="20"/>
      <c r="J24" s="21"/>
      <c r="K24" s="21"/>
      <c r="L24" s="22">
        <f t="shared" si="17"/>
        <v>0</v>
      </c>
      <c r="M24" s="23">
        <f t="shared" si="18"/>
        <v>0</v>
      </c>
      <c r="N24" s="23">
        <f t="shared" si="19"/>
        <v>0</v>
      </c>
      <c r="O24" s="23">
        <f t="shared" si="20"/>
        <v>0</v>
      </c>
      <c r="P24" s="24"/>
      <c r="Q24" s="25">
        <f t="shared" si="13"/>
        <v>0</v>
      </c>
    </row>
    <row r="25" spans="2:17" s="26" customFormat="1" x14ac:dyDescent="0.3">
      <c r="B25" s="27" t="s">
        <v>53</v>
      </c>
      <c r="C25" s="27"/>
      <c r="D25" s="27"/>
      <c r="E25" s="27"/>
      <c r="F25" s="27"/>
      <c r="G25" s="27"/>
      <c r="H25" s="27"/>
      <c r="I25" s="27"/>
      <c r="J25" s="28"/>
      <c r="K25" s="28"/>
      <c r="L25" s="29"/>
      <c r="M25" s="30">
        <f>SUM(M5:M24)</f>
        <v>39</v>
      </c>
      <c r="N25" s="30">
        <f>SUM(N5:N24)</f>
        <v>515</v>
      </c>
      <c r="O25" s="30">
        <f>SUM(O5:O24)</f>
        <v>2855</v>
      </c>
      <c r="P25" s="31"/>
      <c r="Q25" s="32">
        <f>SUM(Q5:Q24)</f>
        <v>1514</v>
      </c>
    </row>
    <row r="26" spans="2:17" ht="4.8" customHeight="1" x14ac:dyDescent="0.3"/>
    <row r="27" spans="2:17" x14ac:dyDescent="0.3">
      <c r="B27" s="33" t="s">
        <v>52</v>
      </c>
      <c r="C27" s="34"/>
      <c r="D27" s="34"/>
      <c r="E27" s="34"/>
      <c r="F27" s="34"/>
      <c r="G27" s="34"/>
      <c r="H27" s="34"/>
      <c r="I27" s="34"/>
      <c r="J27" s="35"/>
      <c r="K27" s="35"/>
      <c r="L27" s="35"/>
      <c r="M27" s="36">
        <f>SUM(M5:M24)</f>
        <v>39</v>
      </c>
      <c r="N27" s="36">
        <f>SUM(N5:N24)</f>
        <v>515</v>
      </c>
      <c r="O27" s="36"/>
      <c r="P27" s="37"/>
      <c r="Q27" s="38">
        <f>SUM(Q5:Q24)</f>
        <v>1514</v>
      </c>
    </row>
    <row r="29" spans="2:17" ht="27" x14ac:dyDescent="0.3">
      <c r="B29" s="44" t="s">
        <v>51</v>
      </c>
    </row>
    <row r="30" spans="2:17" ht="4.8" customHeight="1" x14ac:dyDescent="0.3"/>
    <row r="31" spans="2:17" x14ac:dyDescent="0.3">
      <c r="B31" s="67" t="s">
        <v>34</v>
      </c>
      <c r="C31" s="68"/>
      <c r="D31" s="39">
        <f>ROUNDDOWN((M27*60+N27)/60,0)</f>
        <v>47</v>
      </c>
      <c r="E31" s="5"/>
      <c r="J31" s="9"/>
      <c r="K31" s="40"/>
      <c r="L31" s="40"/>
      <c r="M31" s="10"/>
      <c r="N31" s="10"/>
      <c r="O31" s="5"/>
      <c r="P31" s="41"/>
      <c r="Q31" s="42"/>
    </row>
    <row r="32" spans="2:17" x14ac:dyDescent="0.3">
      <c r="B32" s="67" t="s">
        <v>35</v>
      </c>
      <c r="C32" s="68"/>
      <c r="D32" s="39">
        <f>(M27*60+N27)-D31*60</f>
        <v>35</v>
      </c>
      <c r="H32" s="9"/>
      <c r="I32" s="40"/>
      <c r="J32" s="40"/>
      <c r="K32" s="10"/>
      <c r="L32" s="10"/>
      <c r="M32" s="5"/>
      <c r="N32" s="41"/>
      <c r="O32" s="42"/>
      <c r="P32" s="5"/>
      <c r="Q32" s="5"/>
    </row>
    <row r="33" spans="2:17" x14ac:dyDescent="0.3">
      <c r="B33" s="69" t="s">
        <v>38</v>
      </c>
      <c r="C33" s="70"/>
      <c r="D33" s="43">
        <f>Q27</f>
        <v>1514</v>
      </c>
      <c r="H33" s="9"/>
      <c r="I33" s="40"/>
      <c r="J33" s="40"/>
      <c r="K33" s="10"/>
      <c r="L33" s="10"/>
      <c r="M33" s="5"/>
      <c r="N33" s="41"/>
      <c r="O33" s="42"/>
      <c r="P33" s="5"/>
      <c r="Q33" s="5"/>
    </row>
    <row r="34" spans="2:17" x14ac:dyDescent="0.3">
      <c r="B34" s="69" t="s">
        <v>54</v>
      </c>
      <c r="C34" s="70"/>
      <c r="D34" s="43">
        <f>D33/(M27*60+N27)*60</f>
        <v>31.817863397548162</v>
      </c>
      <c r="H34" s="9"/>
      <c r="I34" s="9"/>
      <c r="J34" s="9"/>
      <c r="K34" s="10"/>
      <c r="L34" s="10"/>
      <c r="M34" s="5"/>
      <c r="N34" s="41"/>
      <c r="O34" s="42"/>
      <c r="P34" s="5"/>
      <c r="Q34" s="5"/>
    </row>
    <row r="35" spans="2:17" x14ac:dyDescent="0.3">
      <c r="H35" s="9"/>
      <c r="I35" s="9"/>
      <c r="J35" s="9"/>
      <c r="K35" s="10"/>
      <c r="L35" s="10"/>
      <c r="M35" s="5"/>
      <c r="N35" s="41"/>
      <c r="O35" s="42"/>
      <c r="P35" s="5"/>
      <c r="Q35" s="5"/>
    </row>
  </sheetData>
  <autoFilter ref="B4:Q25" xr:uid="{E42D1E6E-E4B5-4B4C-8E4C-A8D536857705}"/>
  <mergeCells count="4">
    <mergeCell ref="B31:C31"/>
    <mergeCell ref="B32:C32"/>
    <mergeCell ref="B33:C33"/>
    <mergeCell ref="B34:C34"/>
  </mergeCells>
  <conditionalFormatting sqref="E1:E30 D31:D34 E36:E1048576">
    <cfRule type="cellIs" dxfId="9" priority="1" operator="equal">
      <formula>"Nedelja"</formula>
    </cfRule>
    <cfRule type="cellIs" dxfId="8" priority="2" operator="equal">
      <formula>"Subota"</formula>
    </cfRule>
  </conditionalFormatting>
  <pageMargins left="0.23622047244094491" right="0.23622047244094491" top="0.74803149606299213" bottom="0.74803149606299213" header="0.31496062992125984" footer="0.31496062992125984"/>
  <pageSetup paperSize="9" scale="48" fitToHeight="0" orientation="landscape" r:id="rId1"/>
  <headerFooter>
    <oddFooter>&amp;L© Naša mreža &amp; Igor Lazarević 2023, igor.lazarevic.77@gmail.com&amp;R&amp;P od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5997C-BA33-46E8-BDC4-C31F6FD159C9}">
  <sheetPr>
    <tabColor theme="8" tint="0.39997558519241921"/>
    <pageSetUpPr fitToPage="1"/>
  </sheetPr>
  <dimension ref="B2:Q21"/>
  <sheetViews>
    <sheetView showGridLines="0" zoomScale="85" zoomScaleNormal="85" workbookViewId="0">
      <selection activeCell="F4" sqref="F4"/>
    </sheetView>
  </sheetViews>
  <sheetFormatPr defaultRowHeight="14.4" x14ac:dyDescent="0.3"/>
  <cols>
    <col min="1" max="1" width="3.5546875" style="2" customWidth="1"/>
    <col min="2" max="2" width="13.44140625" style="2" bestFit="1" customWidth="1"/>
    <col min="3" max="3" width="21.88671875" style="4" bestFit="1" customWidth="1"/>
    <col min="4" max="4" width="24" style="4" bestFit="1" customWidth="1"/>
    <col min="5" max="5" width="8.88671875" style="2"/>
    <col min="6" max="6" width="14.88671875" style="2" customWidth="1"/>
    <col min="7" max="8" width="16.88671875" style="4" customWidth="1"/>
    <col min="9" max="16384" width="8.88671875" style="2"/>
  </cols>
  <sheetData>
    <row r="2" spans="2:17" ht="27" x14ac:dyDescent="0.3">
      <c r="B2" s="45" t="s">
        <v>55</v>
      </c>
      <c r="F2" s="45" t="s">
        <v>55</v>
      </c>
    </row>
    <row r="3" spans="2:17" s="5" customFormat="1" ht="4.8" customHeight="1" x14ac:dyDescent="0.3">
      <c r="B3" s="46"/>
      <c r="C3" s="9"/>
      <c r="D3" s="9"/>
      <c r="G3" s="9"/>
      <c r="H3" s="9"/>
      <c r="J3" s="7"/>
      <c r="K3" s="7"/>
      <c r="L3" s="8"/>
      <c r="M3" s="9"/>
      <c r="N3" s="9"/>
      <c r="O3" s="9"/>
      <c r="P3" s="10"/>
      <c r="Q3" s="11"/>
    </row>
    <row r="4" spans="2:17" x14ac:dyDescent="0.3">
      <c r="B4" s="47" t="s">
        <v>7</v>
      </c>
      <c r="C4" s="2" t="s">
        <v>57</v>
      </c>
      <c r="D4" s="2" t="s">
        <v>58</v>
      </c>
      <c r="F4" s="49" t="s">
        <v>55</v>
      </c>
      <c r="G4" s="50" t="s">
        <v>36</v>
      </c>
      <c r="H4" s="50" t="s">
        <v>56</v>
      </c>
    </row>
    <row r="5" spans="2:17" x14ac:dyDescent="0.3">
      <c r="B5" s="3" t="s">
        <v>59</v>
      </c>
      <c r="C5" s="4">
        <v>1069</v>
      </c>
      <c r="D5" s="4">
        <v>639.5</v>
      </c>
      <c r="F5" s="48" t="str">
        <f>B5</f>
        <v>Decembar</v>
      </c>
      <c r="G5" s="53">
        <f>GETPIVOTDATA("Sum of Ukupno minuta",$B$4,"Mesec","Decembar")</f>
        <v>1069</v>
      </c>
      <c r="H5" s="51">
        <f>GETPIVOTDATA("Sum of Naknada, ukupno",$B$4,"Mesec","Decembar")</f>
        <v>639.5</v>
      </c>
    </row>
    <row r="6" spans="2:17" x14ac:dyDescent="0.3">
      <c r="B6" s="3" t="s">
        <v>60</v>
      </c>
      <c r="C6" s="4">
        <v>978</v>
      </c>
      <c r="D6" s="4">
        <v>407.50000000000006</v>
      </c>
      <c r="F6" s="48" t="str">
        <f t="shared" ref="F6:F7" si="0">B6</f>
        <v>Novembar</v>
      </c>
      <c r="G6" s="53">
        <f>GETPIVOTDATA("Sum of Ukupno minuta",$B$4,"Mesec","Novembar")</f>
        <v>978</v>
      </c>
      <c r="H6" s="51">
        <f>GETPIVOTDATA("Sum of Naknada, ukupno",$B$4,"Mesec","Novembar")</f>
        <v>407.50000000000006</v>
      </c>
    </row>
    <row r="7" spans="2:17" x14ac:dyDescent="0.3">
      <c r="B7" s="3" t="s">
        <v>61</v>
      </c>
      <c r="C7" s="4">
        <v>808</v>
      </c>
      <c r="D7" s="4">
        <v>467</v>
      </c>
      <c r="F7" s="48" t="str">
        <f t="shared" si="0"/>
        <v>Oktobar</v>
      </c>
      <c r="G7" s="53">
        <f>GETPIVOTDATA("Sum of Ukupno minuta",$B$4,"Mesec","Oktobar")</f>
        <v>808</v>
      </c>
      <c r="H7" s="51">
        <f>GETPIVOTDATA("Sum of Naknada, ukupno",$B$4,"Mesec","Oktobar")</f>
        <v>467</v>
      </c>
    </row>
    <row r="8" spans="2:17" x14ac:dyDescent="0.3">
      <c r="B8" s="1" t="s">
        <v>8</v>
      </c>
      <c r="C8" s="4">
        <v>2855</v>
      </c>
      <c r="D8" s="4">
        <v>1514</v>
      </c>
      <c r="F8" s="49" t="s">
        <v>53</v>
      </c>
      <c r="G8" s="54">
        <f>SUM(G5:G7)</f>
        <v>2855</v>
      </c>
      <c r="H8" s="52">
        <f>SUM(H5:H7)</f>
        <v>1514</v>
      </c>
    </row>
    <row r="9" spans="2:17" x14ac:dyDescent="0.3">
      <c r="B9"/>
      <c r="C9"/>
      <c r="D9"/>
      <c r="F9" s="1"/>
    </row>
    <row r="10" spans="2:17" x14ac:dyDescent="0.3">
      <c r="B10"/>
      <c r="C10"/>
      <c r="D10"/>
    </row>
    <row r="11" spans="2:17" x14ac:dyDescent="0.3">
      <c r="B11"/>
      <c r="C11"/>
      <c r="D11"/>
    </row>
    <row r="12" spans="2:17" x14ac:dyDescent="0.3">
      <c r="B12"/>
      <c r="C12"/>
      <c r="D12"/>
    </row>
    <row r="13" spans="2:17" x14ac:dyDescent="0.3">
      <c r="B13"/>
      <c r="C13"/>
      <c r="D13"/>
    </row>
    <row r="14" spans="2:17" x14ac:dyDescent="0.3">
      <c r="B14"/>
      <c r="C14"/>
      <c r="D14"/>
    </row>
    <row r="15" spans="2:17" x14ac:dyDescent="0.3">
      <c r="B15"/>
      <c r="C15"/>
      <c r="D15"/>
    </row>
    <row r="16" spans="2:17" x14ac:dyDescent="0.3">
      <c r="B16"/>
      <c r="C16"/>
      <c r="D16"/>
    </row>
    <row r="17" spans="2:4" x14ac:dyDescent="0.3">
      <c r="B17"/>
      <c r="C17"/>
      <c r="D17"/>
    </row>
    <row r="18" spans="2:4" x14ac:dyDescent="0.3">
      <c r="B18"/>
      <c r="C18"/>
      <c r="D18"/>
    </row>
    <row r="19" spans="2:4" x14ac:dyDescent="0.3">
      <c r="B19"/>
      <c r="C19"/>
      <c r="D19"/>
    </row>
    <row r="20" spans="2:4" x14ac:dyDescent="0.3">
      <c r="B20"/>
      <c r="C20"/>
      <c r="D20"/>
    </row>
    <row r="21" spans="2:4" x14ac:dyDescent="0.3">
      <c r="B21"/>
      <c r="C21"/>
      <c r="D21"/>
    </row>
  </sheetData>
  <conditionalFormatting sqref="E3">
    <cfRule type="cellIs" dxfId="7" priority="1" operator="equal">
      <formula>"Sunday"</formula>
    </cfRule>
    <cfRule type="cellIs" dxfId="6" priority="2" operator="equal">
      <formula>"Saturday"</formula>
    </cfRule>
  </conditionalFormatting>
  <pageMargins left="0.7" right="0.7" top="0.75" bottom="0.75" header="0.3" footer="0.3"/>
  <pageSetup paperSize="9" scale="72" orientation="portrait" r:id="rId2"/>
  <headerFooter>
    <oddFooter>&amp;L© Naša mreža &amp; Igor Lazarević 2023, igor.lazarevic.77@gmail.com&amp;R&amp;P od &amp;N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85796-6CED-4594-8F21-C1BE7F697038}">
  <sheetPr>
    <tabColor theme="8" tint="0.39997558519241921"/>
    <pageSetUpPr fitToPage="1"/>
  </sheetPr>
  <dimension ref="B2:Q21"/>
  <sheetViews>
    <sheetView showGridLines="0" zoomScale="85" zoomScaleNormal="85" workbookViewId="0">
      <selection activeCell="F4" sqref="F4"/>
    </sheetView>
  </sheetViews>
  <sheetFormatPr defaultRowHeight="14.4" x14ac:dyDescent="0.3"/>
  <cols>
    <col min="1" max="1" width="3.5546875" style="2" customWidth="1"/>
    <col min="2" max="2" width="13.44140625" style="2" bestFit="1" customWidth="1"/>
    <col min="3" max="3" width="21.88671875" style="4" bestFit="1" customWidth="1"/>
    <col min="4" max="4" width="24" style="4" bestFit="1" customWidth="1"/>
    <col min="5" max="5" width="8.88671875" style="2"/>
    <col min="6" max="6" width="14.88671875" style="2" customWidth="1"/>
    <col min="7" max="8" width="16.88671875" style="4" customWidth="1"/>
    <col min="9" max="16384" width="8.88671875" style="2"/>
  </cols>
  <sheetData>
    <row r="2" spans="2:17" ht="27" x14ac:dyDescent="0.3">
      <c r="B2" s="45" t="s">
        <v>62</v>
      </c>
      <c r="F2" s="45" t="s">
        <v>62</v>
      </c>
    </row>
    <row r="3" spans="2:17" s="5" customFormat="1" ht="4.8" customHeight="1" x14ac:dyDescent="0.3">
      <c r="B3" s="46"/>
      <c r="C3" s="9"/>
      <c r="D3" s="9"/>
      <c r="G3" s="9"/>
      <c r="H3" s="9"/>
      <c r="J3" s="7"/>
      <c r="K3" s="7"/>
      <c r="L3" s="8"/>
      <c r="M3" s="9"/>
      <c r="N3" s="9"/>
      <c r="O3" s="9"/>
      <c r="P3" s="10"/>
      <c r="Q3" s="11"/>
    </row>
    <row r="4" spans="2:17" x14ac:dyDescent="0.3">
      <c r="B4" s="47" t="s">
        <v>7</v>
      </c>
      <c r="C4" s="2" t="s">
        <v>57</v>
      </c>
      <c r="D4" s="2" t="s">
        <v>58</v>
      </c>
      <c r="F4" s="49" t="s">
        <v>28</v>
      </c>
      <c r="G4" s="50" t="s">
        <v>36</v>
      </c>
      <c r="H4" s="50" t="s">
        <v>56</v>
      </c>
    </row>
    <row r="5" spans="2:17" x14ac:dyDescent="0.3">
      <c r="B5" s="3" t="s">
        <v>6</v>
      </c>
      <c r="C5" s="4">
        <v>1342</v>
      </c>
      <c r="D5" s="4">
        <v>589.5</v>
      </c>
      <c r="F5" s="48" t="str">
        <f>B5</f>
        <v>Debussy</v>
      </c>
      <c r="G5" s="53">
        <f>GETPIVOTDATA("Sum of Ukupno minuta",$B$4,"Projekat","Debussy")</f>
        <v>1342</v>
      </c>
      <c r="H5" s="51">
        <f>GETPIVOTDATA("Sum of Naknada, ukupno",$B$4,"Projekat","Debussy")</f>
        <v>589.5</v>
      </c>
    </row>
    <row r="6" spans="2:17" x14ac:dyDescent="0.3">
      <c r="B6" s="3" t="s">
        <v>4</v>
      </c>
      <c r="C6" s="4">
        <v>715</v>
      </c>
      <c r="D6" s="4">
        <v>357.5</v>
      </c>
      <c r="F6" s="48" t="str">
        <f t="shared" ref="F6:F7" si="0">B6</f>
        <v>Hercules</v>
      </c>
      <c r="G6" s="53">
        <f>GETPIVOTDATA("Sum of Ukupno minuta",$B$4,"Projekat","Hercules")</f>
        <v>715</v>
      </c>
      <c r="H6" s="51">
        <f>GETPIVOTDATA("Sum of Naknada, ukupno",$B$4,"Projekat","Hercules")</f>
        <v>357.5</v>
      </c>
    </row>
    <row r="7" spans="2:17" x14ac:dyDescent="0.3">
      <c r="B7" s="3" t="s">
        <v>5</v>
      </c>
      <c r="C7" s="4">
        <v>798</v>
      </c>
      <c r="D7" s="4">
        <v>567</v>
      </c>
      <c r="F7" s="48" t="str">
        <f t="shared" si="0"/>
        <v>Zorro</v>
      </c>
      <c r="G7" s="53">
        <f>GETPIVOTDATA("Sum of Ukupno minuta",$B$4,"Projekat","Zorro")</f>
        <v>798</v>
      </c>
      <c r="H7" s="51">
        <f>GETPIVOTDATA("Sum of Naknada, ukupno",$B$4,"Projekat","Zorro")</f>
        <v>567</v>
      </c>
    </row>
    <row r="8" spans="2:17" x14ac:dyDescent="0.3">
      <c r="B8" s="1" t="s">
        <v>8</v>
      </c>
      <c r="C8" s="4">
        <v>2855</v>
      </c>
      <c r="D8" s="4">
        <v>1514</v>
      </c>
      <c r="F8" s="49" t="s">
        <v>53</v>
      </c>
      <c r="G8" s="54">
        <f>SUM(G5:G7)</f>
        <v>2855</v>
      </c>
      <c r="H8" s="52">
        <f>SUM(H5:H7)</f>
        <v>1514</v>
      </c>
    </row>
    <row r="9" spans="2:17" x14ac:dyDescent="0.3">
      <c r="B9"/>
      <c r="C9"/>
      <c r="D9"/>
      <c r="F9" s="1"/>
    </row>
    <row r="10" spans="2:17" x14ac:dyDescent="0.3">
      <c r="B10"/>
      <c r="C10"/>
      <c r="D10"/>
    </row>
    <row r="11" spans="2:17" x14ac:dyDescent="0.3">
      <c r="B11"/>
      <c r="C11"/>
      <c r="D11"/>
    </row>
    <row r="12" spans="2:17" x14ac:dyDescent="0.3">
      <c r="B12"/>
      <c r="C12"/>
      <c r="D12"/>
    </row>
    <row r="13" spans="2:17" x14ac:dyDescent="0.3">
      <c r="B13"/>
      <c r="C13"/>
      <c r="D13"/>
    </row>
    <row r="14" spans="2:17" x14ac:dyDescent="0.3">
      <c r="B14"/>
      <c r="C14"/>
      <c r="D14"/>
    </row>
    <row r="15" spans="2:17" x14ac:dyDescent="0.3">
      <c r="B15"/>
      <c r="C15"/>
      <c r="D15"/>
    </row>
    <row r="16" spans="2:17" x14ac:dyDescent="0.3">
      <c r="B16"/>
      <c r="C16"/>
      <c r="D16"/>
    </row>
    <row r="17" spans="2:4" x14ac:dyDescent="0.3">
      <c r="B17"/>
      <c r="C17"/>
      <c r="D17"/>
    </row>
    <row r="18" spans="2:4" x14ac:dyDescent="0.3">
      <c r="B18"/>
      <c r="C18"/>
      <c r="D18"/>
    </row>
    <row r="19" spans="2:4" x14ac:dyDescent="0.3">
      <c r="B19"/>
      <c r="C19"/>
      <c r="D19"/>
    </row>
    <row r="20" spans="2:4" x14ac:dyDescent="0.3">
      <c r="B20"/>
      <c r="C20"/>
      <c r="D20"/>
    </row>
    <row r="21" spans="2:4" x14ac:dyDescent="0.3">
      <c r="B21"/>
      <c r="C21"/>
      <c r="D21"/>
    </row>
  </sheetData>
  <conditionalFormatting sqref="E3">
    <cfRule type="cellIs" dxfId="5" priority="1" operator="equal">
      <formula>"Sunday"</formula>
    </cfRule>
    <cfRule type="cellIs" dxfId="4" priority="2" operator="equal">
      <formula>"Saturday"</formula>
    </cfRule>
  </conditionalFormatting>
  <pageMargins left="0.7" right="0.7" top="0.75" bottom="0.75" header="0.3" footer="0.3"/>
  <pageSetup paperSize="9" scale="72" orientation="portrait" r:id="rId2"/>
  <headerFooter>
    <oddFooter>&amp;L© Naša mreža &amp; Igor Lazarević 2023, igor.lazarevic.77@gmail.com&amp;R&amp;P od &amp;N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7E639-C6EE-4691-89E9-9AB0770773C3}">
  <sheetPr>
    <tabColor theme="8" tint="0.39997558519241921"/>
    <pageSetUpPr fitToPage="1"/>
  </sheetPr>
  <dimension ref="B2:Q21"/>
  <sheetViews>
    <sheetView showGridLines="0" zoomScale="85" zoomScaleNormal="85" workbookViewId="0">
      <selection activeCell="F4" sqref="F4"/>
    </sheetView>
  </sheetViews>
  <sheetFormatPr defaultRowHeight="14.4" x14ac:dyDescent="0.3"/>
  <cols>
    <col min="1" max="1" width="3.5546875" style="2" customWidth="1"/>
    <col min="2" max="2" width="19.33203125" style="2" bestFit="1" customWidth="1"/>
    <col min="3" max="3" width="21.88671875" style="4" bestFit="1" customWidth="1"/>
    <col min="4" max="4" width="24" style="4" bestFit="1" customWidth="1"/>
    <col min="5" max="5" width="8.88671875" style="2"/>
    <col min="6" max="6" width="14.88671875" style="2" customWidth="1"/>
    <col min="7" max="8" width="16.88671875" style="4" customWidth="1"/>
    <col min="9" max="16384" width="8.88671875" style="2"/>
  </cols>
  <sheetData>
    <row r="2" spans="2:17" ht="27" x14ac:dyDescent="0.3">
      <c r="B2" s="45" t="s">
        <v>29</v>
      </c>
      <c r="F2" s="45" t="s">
        <v>29</v>
      </c>
    </row>
    <row r="3" spans="2:17" s="5" customFormat="1" ht="4.8" customHeight="1" x14ac:dyDescent="0.3">
      <c r="B3" s="46"/>
      <c r="C3" s="9"/>
      <c r="D3" s="9"/>
      <c r="G3" s="9"/>
      <c r="H3" s="9"/>
      <c r="J3" s="7"/>
      <c r="K3" s="7"/>
      <c r="L3" s="8"/>
      <c r="M3" s="9"/>
      <c r="N3" s="9"/>
      <c r="O3" s="9"/>
      <c r="P3" s="10"/>
      <c r="Q3" s="11"/>
    </row>
    <row r="4" spans="2:17" x14ac:dyDescent="0.3">
      <c r="B4" s="47" t="s">
        <v>7</v>
      </c>
      <c r="C4" s="2" t="s">
        <v>57</v>
      </c>
      <c r="D4" s="2" t="s">
        <v>58</v>
      </c>
      <c r="F4" s="49" t="s">
        <v>63</v>
      </c>
      <c r="G4" s="50" t="s">
        <v>36</v>
      </c>
      <c r="H4" s="50" t="s">
        <v>56</v>
      </c>
    </row>
    <row r="5" spans="2:17" x14ac:dyDescent="0.3">
      <c r="B5" s="3" t="s">
        <v>47</v>
      </c>
      <c r="C5" s="4">
        <v>798</v>
      </c>
      <c r="D5" s="4">
        <v>567</v>
      </c>
      <c r="F5" s="48" t="str">
        <f>B5</f>
        <v>Klijentova kancelarija</v>
      </c>
      <c r="G5" s="53">
        <f>GETPIVOTDATA("Sum of Ukupno minuta",$B$4,"Mesto rada","Klijentova kancelarija")</f>
        <v>798</v>
      </c>
      <c r="H5" s="51">
        <f>GETPIVOTDATA("Sum of Naknada, ukupno",$B$4,"Mesto rada","Klijentova kancelarija")</f>
        <v>567</v>
      </c>
    </row>
    <row r="6" spans="2:17" x14ac:dyDescent="0.3">
      <c r="B6" s="3" t="s">
        <v>46</v>
      </c>
      <c r="C6" s="4">
        <v>2057</v>
      </c>
      <c r="D6" s="4">
        <v>946.99999999999989</v>
      </c>
      <c r="F6" s="48" t="str">
        <f t="shared" ref="F6" si="0">B6</f>
        <v>Moja kancelarija</v>
      </c>
      <c r="G6" s="53">
        <f>GETPIVOTDATA("Sum of Ukupno minuta",$B$4,"Mesto rada","Moja kancelarija")</f>
        <v>2057</v>
      </c>
      <c r="H6" s="51">
        <f>GETPIVOTDATA("Sum of Naknada, ukupno",$B$4,"Mesto rada","Moja kancelarija")</f>
        <v>946.99999999999989</v>
      </c>
    </row>
    <row r="7" spans="2:17" x14ac:dyDescent="0.3">
      <c r="B7" s="1" t="s">
        <v>8</v>
      </c>
      <c r="C7" s="4">
        <v>2855</v>
      </c>
      <c r="D7" s="4">
        <v>1514</v>
      </c>
      <c r="F7" s="49" t="s">
        <v>53</v>
      </c>
      <c r="G7" s="54">
        <f>SUM(G5:G6)</f>
        <v>2855</v>
      </c>
      <c r="H7" s="52">
        <f>SUM(H5:H6)</f>
        <v>1514</v>
      </c>
    </row>
    <row r="8" spans="2:17" x14ac:dyDescent="0.3">
      <c r="B8"/>
      <c r="C8"/>
      <c r="D8"/>
      <c r="F8" s="1"/>
    </row>
    <row r="9" spans="2:17" x14ac:dyDescent="0.3">
      <c r="B9"/>
      <c r="C9"/>
      <c r="D9"/>
    </row>
    <row r="10" spans="2:17" x14ac:dyDescent="0.3">
      <c r="B10"/>
      <c r="C10"/>
      <c r="D10"/>
    </row>
    <row r="11" spans="2:17" x14ac:dyDescent="0.3">
      <c r="B11"/>
      <c r="C11"/>
      <c r="D11"/>
    </row>
    <row r="12" spans="2:17" x14ac:dyDescent="0.3">
      <c r="B12"/>
      <c r="C12"/>
      <c r="D12"/>
    </row>
    <row r="13" spans="2:17" x14ac:dyDescent="0.3">
      <c r="B13"/>
      <c r="C13"/>
      <c r="D13"/>
    </row>
    <row r="14" spans="2:17" x14ac:dyDescent="0.3">
      <c r="B14"/>
      <c r="C14"/>
      <c r="D14"/>
    </row>
    <row r="15" spans="2:17" x14ac:dyDescent="0.3">
      <c r="B15"/>
      <c r="C15"/>
      <c r="D15"/>
    </row>
    <row r="16" spans="2:17" x14ac:dyDescent="0.3">
      <c r="B16"/>
      <c r="C16"/>
      <c r="D16"/>
    </row>
    <row r="17" spans="2:4" x14ac:dyDescent="0.3">
      <c r="B17"/>
      <c r="C17"/>
      <c r="D17"/>
    </row>
    <row r="18" spans="2:4" x14ac:dyDescent="0.3">
      <c r="B18"/>
      <c r="C18"/>
      <c r="D18"/>
    </row>
    <row r="19" spans="2:4" x14ac:dyDescent="0.3">
      <c r="B19"/>
      <c r="C19"/>
      <c r="D19"/>
    </row>
    <row r="20" spans="2:4" x14ac:dyDescent="0.3">
      <c r="B20"/>
      <c r="C20"/>
      <c r="D20"/>
    </row>
    <row r="21" spans="2:4" x14ac:dyDescent="0.3">
      <c r="B21"/>
      <c r="C21"/>
      <c r="D21"/>
    </row>
  </sheetData>
  <conditionalFormatting sqref="E3">
    <cfRule type="cellIs" dxfId="3" priority="1" operator="equal">
      <formula>"Sunday"</formula>
    </cfRule>
    <cfRule type="cellIs" dxfId="2" priority="2" operator="equal">
      <formula>"Saturday"</formula>
    </cfRule>
  </conditionalFormatting>
  <pageMargins left="0.7" right="0.7" top="0.75" bottom="0.75" header="0.3" footer="0.3"/>
  <pageSetup paperSize="9" scale="69" orientation="portrait" r:id="rId2"/>
  <headerFooter>
    <oddFooter>&amp;L© Naša mreža &amp; Igor Lazarević 2023, igor.lazarevic.77@gmail.com&amp;R&amp;P od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FA6CB-DC3D-47F0-8EEA-7424E118F35C}">
  <sheetPr>
    <tabColor theme="8" tint="0.39997558519241921"/>
    <pageSetUpPr fitToPage="1"/>
  </sheetPr>
  <dimension ref="B2:Q21"/>
  <sheetViews>
    <sheetView showGridLines="0" zoomScale="85" zoomScaleNormal="85" workbookViewId="0">
      <selection activeCell="F4" sqref="F4"/>
    </sheetView>
  </sheetViews>
  <sheetFormatPr defaultRowHeight="14.4" x14ac:dyDescent="0.3"/>
  <cols>
    <col min="1" max="1" width="3.5546875" style="2" customWidth="1"/>
    <col min="2" max="2" width="13.44140625" style="2" bestFit="1" customWidth="1"/>
    <col min="3" max="3" width="21.88671875" style="4" bestFit="1" customWidth="1"/>
    <col min="4" max="4" width="24" style="4" bestFit="1" customWidth="1"/>
    <col min="5" max="5" width="8.88671875" style="2"/>
    <col min="6" max="6" width="14.88671875" style="2" customWidth="1"/>
    <col min="7" max="8" width="16.88671875" style="4" customWidth="1"/>
    <col min="9" max="16384" width="8.88671875" style="2"/>
  </cols>
  <sheetData>
    <row r="2" spans="2:17" ht="27" x14ac:dyDescent="0.3">
      <c r="B2" s="45" t="s">
        <v>30</v>
      </c>
      <c r="F2" s="45" t="s">
        <v>30</v>
      </c>
    </row>
    <row r="3" spans="2:17" s="5" customFormat="1" ht="4.8" customHeight="1" x14ac:dyDescent="0.3">
      <c r="B3" s="46"/>
      <c r="C3" s="9"/>
      <c r="D3" s="9"/>
      <c r="G3" s="9"/>
      <c r="H3" s="9"/>
      <c r="J3" s="7"/>
      <c r="K3" s="7"/>
      <c r="L3" s="8"/>
      <c r="M3" s="9"/>
      <c r="N3" s="9"/>
      <c r="O3" s="9"/>
      <c r="P3" s="10"/>
      <c r="Q3" s="11"/>
    </row>
    <row r="4" spans="2:17" x14ac:dyDescent="0.3">
      <c r="B4" s="47" t="s">
        <v>7</v>
      </c>
      <c r="C4" s="2" t="s">
        <v>57</v>
      </c>
      <c r="D4" s="2" t="s">
        <v>58</v>
      </c>
      <c r="F4" s="49" t="s">
        <v>30</v>
      </c>
      <c r="G4" s="50" t="s">
        <v>36</v>
      </c>
      <c r="H4" s="50" t="s">
        <v>56</v>
      </c>
    </row>
    <row r="5" spans="2:17" x14ac:dyDescent="0.3">
      <c r="B5" s="3" t="s">
        <v>50</v>
      </c>
      <c r="C5" s="4">
        <v>239</v>
      </c>
      <c r="D5" s="65">
        <v>99.583333333333343</v>
      </c>
      <c r="F5" s="48" t="str">
        <f>B5</f>
        <v>Nizak</v>
      </c>
      <c r="G5" s="53">
        <f>GETPIVOTDATA("Sum of Ukupno minuta",$B$4,"Nivo napora","Nizak")</f>
        <v>239</v>
      </c>
      <c r="H5" s="51">
        <f>GETPIVOTDATA("Sum of Naknada, ukupno",$B$4,"Nivo napora","Nizak")</f>
        <v>99.583333333333343</v>
      </c>
    </row>
    <row r="6" spans="2:17" x14ac:dyDescent="0.3">
      <c r="B6" s="3" t="s">
        <v>49</v>
      </c>
      <c r="C6" s="4">
        <v>1027</v>
      </c>
      <c r="D6" s="65">
        <v>576.5</v>
      </c>
      <c r="F6" s="48" t="str">
        <f t="shared" ref="F6:F7" si="0">B6</f>
        <v>Srednji</v>
      </c>
      <c r="G6" s="53">
        <f>GETPIVOTDATA("Sum of Ukupno minuta",$B$4,"Nivo napora","Srednji")</f>
        <v>1027</v>
      </c>
      <c r="H6" s="51">
        <f>GETPIVOTDATA("Sum of Naknada, ukupno",$B$4,"Nivo napora","Srednji")</f>
        <v>576.5</v>
      </c>
    </row>
    <row r="7" spans="2:17" x14ac:dyDescent="0.3">
      <c r="B7" s="3" t="s">
        <v>48</v>
      </c>
      <c r="C7" s="4">
        <v>1589</v>
      </c>
      <c r="D7" s="65">
        <v>837.91666666666663</v>
      </c>
      <c r="F7" s="48" t="str">
        <f t="shared" si="0"/>
        <v>Visok</v>
      </c>
      <c r="G7" s="53">
        <f>GETPIVOTDATA("Sum of Ukupno minuta",$B$4,"Nivo napora","Visok")</f>
        <v>1589</v>
      </c>
      <c r="H7" s="51">
        <f>GETPIVOTDATA("Sum of Naknada, ukupno",$B$4,"Nivo napora","Visok")</f>
        <v>837.91666666666663</v>
      </c>
    </row>
    <row r="8" spans="2:17" x14ac:dyDescent="0.3">
      <c r="B8" s="1" t="s">
        <v>8</v>
      </c>
      <c r="C8" s="4">
        <v>2855</v>
      </c>
      <c r="D8" s="4">
        <v>1514</v>
      </c>
      <c r="F8" s="49" t="s">
        <v>53</v>
      </c>
      <c r="G8" s="54">
        <f>SUM(G5:G7)</f>
        <v>2855</v>
      </c>
      <c r="H8" s="52">
        <f>SUM(H5:H7)</f>
        <v>1514</v>
      </c>
    </row>
    <row r="9" spans="2:17" x14ac:dyDescent="0.3">
      <c r="B9"/>
      <c r="C9"/>
      <c r="D9"/>
      <c r="F9" s="1"/>
    </row>
    <row r="10" spans="2:17" x14ac:dyDescent="0.3">
      <c r="B10"/>
      <c r="C10"/>
      <c r="D10"/>
    </row>
    <row r="11" spans="2:17" x14ac:dyDescent="0.3">
      <c r="B11"/>
      <c r="C11"/>
      <c r="D11"/>
    </row>
    <row r="12" spans="2:17" x14ac:dyDescent="0.3">
      <c r="B12"/>
      <c r="C12"/>
      <c r="D12"/>
    </row>
    <row r="13" spans="2:17" x14ac:dyDescent="0.3">
      <c r="B13"/>
      <c r="C13"/>
      <c r="D13"/>
    </row>
    <row r="14" spans="2:17" x14ac:dyDescent="0.3">
      <c r="B14"/>
      <c r="C14"/>
      <c r="D14"/>
    </row>
    <row r="15" spans="2:17" x14ac:dyDescent="0.3">
      <c r="B15"/>
      <c r="C15"/>
      <c r="D15"/>
    </row>
    <row r="16" spans="2:17" x14ac:dyDescent="0.3">
      <c r="B16"/>
      <c r="C16"/>
      <c r="D16"/>
    </row>
    <row r="17" spans="2:4" x14ac:dyDescent="0.3">
      <c r="B17"/>
      <c r="C17"/>
      <c r="D17"/>
    </row>
    <row r="18" spans="2:4" x14ac:dyDescent="0.3">
      <c r="B18"/>
      <c r="C18"/>
      <c r="D18"/>
    </row>
    <row r="19" spans="2:4" x14ac:dyDescent="0.3">
      <c r="B19"/>
      <c r="C19"/>
      <c r="D19"/>
    </row>
    <row r="20" spans="2:4" x14ac:dyDescent="0.3">
      <c r="B20"/>
      <c r="C20"/>
      <c r="D20"/>
    </row>
    <row r="21" spans="2:4" x14ac:dyDescent="0.3">
      <c r="B21"/>
      <c r="C21"/>
      <c r="D21"/>
    </row>
  </sheetData>
  <conditionalFormatting sqref="E3">
    <cfRule type="cellIs" dxfId="1" priority="1" operator="equal">
      <formula>"Sunday"</formula>
    </cfRule>
    <cfRule type="cellIs" dxfId="0" priority="2" operator="equal">
      <formula>"Saturday"</formula>
    </cfRule>
  </conditionalFormatting>
  <pageMargins left="0.7" right="0.7" top="0.75" bottom="0.75" header="0.3" footer="0.3"/>
  <pageSetup paperSize="9" scale="72" orientation="portrait" r:id="rId2"/>
  <headerFooter>
    <oddFooter>&amp;L© Naša mreža &amp; Igor Lazarević 2023, igor.lazarevic.77@gmail.com&amp;R&amp;P od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Uputstvo</vt:lpstr>
      <vt:lpstr>Time-tracking</vt:lpstr>
      <vt:lpstr>Po mesecima</vt:lpstr>
      <vt:lpstr>Po projektu</vt:lpstr>
      <vt:lpstr>Po mestu</vt:lpstr>
      <vt:lpstr>Po nivou napora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Lazarević</dc:creator>
  <cp:lastModifiedBy>Igor Lazarević</cp:lastModifiedBy>
  <cp:lastPrinted>2023-09-14T22:41:37Z</cp:lastPrinted>
  <dcterms:created xsi:type="dcterms:W3CDTF">2021-02-06T08:54:34Z</dcterms:created>
  <dcterms:modified xsi:type="dcterms:W3CDTF">2023-09-15T12:04:56Z</dcterms:modified>
</cp:coreProperties>
</file>